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4000" windowHeight="9240" activeTab="11"/>
  </bookViews>
  <sheets>
    <sheet name="1月" sheetId="1" r:id="rId1"/>
    <sheet name="2月 " sheetId="2" r:id="rId2"/>
    <sheet name="3月" sheetId="3" r:id="rId3"/>
    <sheet name="4月" sheetId="4" r:id="rId4"/>
    <sheet name="5月" sheetId="5" r:id="rId5"/>
    <sheet name="6月" sheetId="6" r:id="rId6"/>
    <sheet name="7月" sheetId="8" r:id="rId7"/>
    <sheet name="8月" sheetId="9" r:id="rId8"/>
    <sheet name="9月" sheetId="10" r:id="rId9"/>
    <sheet name="10月" sheetId="11" r:id="rId10"/>
    <sheet name="11月" sheetId="14" r:id="rId11"/>
    <sheet name="12月" sheetId="15" r:id="rId12"/>
  </sheets>
  <calcPr calcId="124519"/>
</workbook>
</file>

<file path=xl/calcChain.xml><?xml version="1.0" encoding="utf-8"?>
<calcChain xmlns="http://schemas.openxmlformats.org/spreadsheetml/2006/main">
  <c r="AI14" i="15"/>
  <c r="AI13"/>
  <c r="AH14" l="1"/>
  <c r="AH13"/>
  <c r="AG14" l="1"/>
  <c r="AG13"/>
  <c r="AF14" l="1"/>
  <c r="AF13"/>
  <c r="AE14" l="1"/>
  <c r="AE13"/>
  <c r="AD14" l="1"/>
  <c r="AD13"/>
  <c r="AC14"/>
  <c r="AC13"/>
  <c r="AB14"/>
  <c r="AB13"/>
  <c r="AA14" l="1"/>
  <c r="AA13"/>
  <c r="Z14" l="1"/>
  <c r="Z13"/>
  <c r="Y14" l="1"/>
  <c r="Y13"/>
  <c r="X14" l="1"/>
  <c r="X13"/>
  <c r="W14" l="1"/>
  <c r="W15" s="1"/>
  <c r="W13"/>
  <c r="V14"/>
  <c r="V13"/>
  <c r="U14"/>
  <c r="U13"/>
  <c r="T14"/>
  <c r="T13"/>
  <c r="S14"/>
  <c r="S15" s="1"/>
  <c r="S13"/>
  <c r="D37"/>
  <c r="D36"/>
  <c r="D35"/>
  <c r="D34"/>
  <c r="D33"/>
  <c r="D32"/>
  <c r="D31"/>
  <c r="AI30"/>
  <c r="AH30"/>
  <c r="AG30"/>
  <c r="AF30"/>
  <c r="AE30"/>
  <c r="AD30"/>
  <c r="AC30"/>
  <c r="AB30"/>
  <c r="AA30"/>
  <c r="Z30"/>
  <c r="Y30"/>
  <c r="X30"/>
  <c r="W30"/>
  <c r="V30"/>
  <c r="U30"/>
  <c r="T30"/>
  <c r="S30"/>
  <c r="R30"/>
  <c r="Q30"/>
  <c r="P30"/>
  <c r="O30"/>
  <c r="N30"/>
  <c r="M30"/>
  <c r="L30"/>
  <c r="K30"/>
  <c r="J30"/>
  <c r="I30"/>
  <c r="H30"/>
  <c r="G30"/>
  <c r="F30"/>
  <c r="E30"/>
  <c r="D28"/>
  <c r="D27"/>
  <c r="D26"/>
  <c r="D25"/>
  <c r="D24"/>
  <c r="D23"/>
  <c r="D22"/>
  <c r="D21"/>
  <c r="D20"/>
  <c r="D19"/>
  <c r="D18"/>
  <c r="D16"/>
  <c r="AI15"/>
  <c r="AH15"/>
  <c r="AG15"/>
  <c r="AF15"/>
  <c r="AE15"/>
  <c r="AD15"/>
  <c r="AC15"/>
  <c r="AB15"/>
  <c r="AA15"/>
  <c r="Z15"/>
  <c r="Y15"/>
  <c r="X15"/>
  <c r="T15"/>
  <c r="R14"/>
  <c r="Q14"/>
  <c r="P14"/>
  <c r="O14"/>
  <c r="N14"/>
  <c r="M14"/>
  <c r="L14"/>
  <c r="K14"/>
  <c r="J14"/>
  <c r="I14"/>
  <c r="H14"/>
  <c r="G14"/>
  <c r="F14"/>
  <c r="E14"/>
  <c r="R13"/>
  <c r="Q13"/>
  <c r="P13"/>
  <c r="O13"/>
  <c r="N13"/>
  <c r="M13"/>
  <c r="L13"/>
  <c r="K13"/>
  <c r="J13"/>
  <c r="I13"/>
  <c r="H13"/>
  <c r="G13"/>
  <c r="F13"/>
  <c r="E13"/>
  <c r="D12"/>
  <c r="D9"/>
  <c r="AI8"/>
  <c r="AI17" s="1"/>
  <c r="AH8"/>
  <c r="AG8"/>
  <c r="AG17" s="1"/>
  <c r="AF8"/>
  <c r="AF17" s="1"/>
  <c r="AE8"/>
  <c r="AE17" s="1"/>
  <c r="AD8"/>
  <c r="AC8"/>
  <c r="AC17" s="1"/>
  <c r="AB8"/>
  <c r="AB17" s="1"/>
  <c r="AA8"/>
  <c r="AA17" s="1"/>
  <c r="Z8"/>
  <c r="Y8"/>
  <c r="Y17" s="1"/>
  <c r="X8"/>
  <c r="X17" s="1"/>
  <c r="W8"/>
  <c r="W17" s="1"/>
  <c r="V8"/>
  <c r="U8"/>
  <c r="U17" s="1"/>
  <c r="T8"/>
  <c r="S8"/>
  <c r="S17" s="1"/>
  <c r="R8"/>
  <c r="Q8"/>
  <c r="Q17" s="1"/>
  <c r="P8"/>
  <c r="P17" s="1"/>
  <c r="O8"/>
  <c r="O17" s="1"/>
  <c r="N8"/>
  <c r="M8"/>
  <c r="M17" s="1"/>
  <c r="L8"/>
  <c r="L17" s="1"/>
  <c r="K8"/>
  <c r="K17" s="1"/>
  <c r="J8"/>
  <c r="I8"/>
  <c r="I17" s="1"/>
  <c r="H8"/>
  <c r="H17" s="1"/>
  <c r="G8"/>
  <c r="G17" s="1"/>
  <c r="F8"/>
  <c r="E8"/>
  <c r="E17" s="1"/>
  <c r="D7"/>
  <c r="D6"/>
  <c r="AI5"/>
  <c r="AH5"/>
  <c r="AG5"/>
  <c r="AF5"/>
  <c r="AE5"/>
  <c r="AD5"/>
  <c r="AC5"/>
  <c r="AB5"/>
  <c r="AA5"/>
  <c r="Z5"/>
  <c r="Y5"/>
  <c r="X5"/>
  <c r="W5"/>
  <c r="V5"/>
  <c r="U5"/>
  <c r="T5"/>
  <c r="S5"/>
  <c r="R5"/>
  <c r="Q5"/>
  <c r="P5"/>
  <c r="O5"/>
  <c r="N5"/>
  <c r="M5"/>
  <c r="L5"/>
  <c r="K5"/>
  <c r="J5"/>
  <c r="I5"/>
  <c r="H5"/>
  <c r="G5"/>
  <c r="F5"/>
  <c r="E5"/>
  <c r="D4"/>
  <c r="D3"/>
  <c r="D37" i="14"/>
  <c r="D36"/>
  <c r="D35"/>
  <c r="D34"/>
  <c r="D33"/>
  <c r="D32"/>
  <c r="D31"/>
  <c r="AI30"/>
  <c r="AH30"/>
  <c r="AG30"/>
  <c r="AF30"/>
  <c r="AE30"/>
  <c r="AD30"/>
  <c r="AC30"/>
  <c r="AB30"/>
  <c r="AA30"/>
  <c r="Z30"/>
  <c r="Y30"/>
  <c r="X30"/>
  <c r="W30"/>
  <c r="V30"/>
  <c r="U30"/>
  <c r="T30"/>
  <c r="S30"/>
  <c r="R30"/>
  <c r="Q30"/>
  <c r="P30"/>
  <c r="O30"/>
  <c r="N30"/>
  <c r="M30"/>
  <c r="L30"/>
  <c r="K30"/>
  <c r="J30"/>
  <c r="I30"/>
  <c r="H30"/>
  <c r="G30"/>
  <c r="F30"/>
  <c r="E30"/>
  <c r="D28"/>
  <c r="D27"/>
  <c r="D26"/>
  <c r="D25"/>
  <c r="D24"/>
  <c r="D23"/>
  <c r="D22"/>
  <c r="D21"/>
  <c r="D20"/>
  <c r="D19"/>
  <c r="D18"/>
  <c r="D16"/>
  <c r="AI15"/>
  <c r="AH14"/>
  <c r="AG14"/>
  <c r="AF14"/>
  <c r="AE14"/>
  <c r="AD14"/>
  <c r="AC14"/>
  <c r="AB14"/>
  <c r="AA14"/>
  <c r="Z14"/>
  <c r="Y14"/>
  <c r="X14"/>
  <c r="W14"/>
  <c r="U14"/>
  <c r="T14"/>
  <c r="S14"/>
  <c r="R14"/>
  <c r="AH13"/>
  <c r="AH15" s="1"/>
  <c r="AG13"/>
  <c r="AG15" s="1"/>
  <c r="AF13"/>
  <c r="AE13"/>
  <c r="AE15" s="1"/>
  <c r="AD13"/>
  <c r="AC13"/>
  <c r="AC15" s="1"/>
  <c r="AB13"/>
  <c r="AA13"/>
  <c r="AA15" s="1"/>
  <c r="Z13"/>
  <c r="Y13"/>
  <c r="Y15" s="1"/>
  <c r="X13"/>
  <c r="W13"/>
  <c r="W15" s="1"/>
  <c r="V13"/>
  <c r="V15" s="1"/>
  <c r="U13"/>
  <c r="T13"/>
  <c r="S13"/>
  <c r="R13"/>
  <c r="Q13"/>
  <c r="Q15" s="1"/>
  <c r="P13"/>
  <c r="P15" s="1"/>
  <c r="O13"/>
  <c r="O15" s="1"/>
  <c r="N13"/>
  <c r="N15" s="1"/>
  <c r="M13"/>
  <c r="M15" s="1"/>
  <c r="L13"/>
  <c r="L15" s="1"/>
  <c r="K13"/>
  <c r="K15" s="1"/>
  <c r="J13"/>
  <c r="J15" s="1"/>
  <c r="I13"/>
  <c r="I15" s="1"/>
  <c r="H13"/>
  <c r="H15" s="1"/>
  <c r="G13"/>
  <c r="G15" s="1"/>
  <c r="F13"/>
  <c r="F15" s="1"/>
  <c r="E13"/>
  <c r="E15" s="1"/>
  <c r="D12"/>
  <c r="D9"/>
  <c r="AI8"/>
  <c r="AH8"/>
  <c r="AG8"/>
  <c r="AF8"/>
  <c r="AF10" s="1"/>
  <c r="AE8"/>
  <c r="AE17" s="1"/>
  <c r="AD8"/>
  <c r="AC8"/>
  <c r="AB8"/>
  <c r="AB10" s="1"/>
  <c r="AA8"/>
  <c r="AA17" s="1"/>
  <c r="Z8"/>
  <c r="Y8"/>
  <c r="X8"/>
  <c r="X10" s="1"/>
  <c r="W8"/>
  <c r="V8"/>
  <c r="U8"/>
  <c r="T8"/>
  <c r="T17" s="1"/>
  <c r="S8"/>
  <c r="R8"/>
  <c r="Q8"/>
  <c r="P8"/>
  <c r="P17" s="1"/>
  <c r="O8"/>
  <c r="O17" s="1"/>
  <c r="N8"/>
  <c r="M8"/>
  <c r="L8"/>
  <c r="L17" s="1"/>
  <c r="K8"/>
  <c r="J8"/>
  <c r="I8"/>
  <c r="H8"/>
  <c r="H17" s="1"/>
  <c r="G8"/>
  <c r="F8"/>
  <c r="E8"/>
  <c r="D7"/>
  <c r="D6"/>
  <c r="AI5"/>
  <c r="AH5"/>
  <c r="AH10" s="1"/>
  <c r="AG5"/>
  <c r="AF5"/>
  <c r="AE5"/>
  <c r="AD5"/>
  <c r="AD10" s="1"/>
  <c r="AC5"/>
  <c r="AB5"/>
  <c r="AA5"/>
  <c r="Z5"/>
  <c r="Z10" s="1"/>
  <c r="Y5"/>
  <c r="X5"/>
  <c r="W5"/>
  <c r="V5"/>
  <c r="V10" s="1"/>
  <c r="U5"/>
  <c r="T5"/>
  <c r="S5"/>
  <c r="R5"/>
  <c r="R10" s="1"/>
  <c r="Q5"/>
  <c r="P5"/>
  <c r="O5"/>
  <c r="N5"/>
  <c r="N10" s="1"/>
  <c r="M5"/>
  <c r="L5"/>
  <c r="K5"/>
  <c r="J5"/>
  <c r="J10" s="1"/>
  <c r="I5"/>
  <c r="H5"/>
  <c r="G5"/>
  <c r="F5"/>
  <c r="E5"/>
  <c r="D4"/>
  <c r="D3"/>
  <c r="D37" i="11"/>
  <c r="D36"/>
  <c r="D35"/>
  <c r="D34"/>
  <c r="D33"/>
  <c r="D32"/>
  <c r="D31"/>
  <c r="AI30"/>
  <c r="AH30"/>
  <c r="AG30"/>
  <c r="AF30"/>
  <c r="AE30"/>
  <c r="AD30"/>
  <c r="AC30"/>
  <c r="AB30"/>
  <c r="AA30"/>
  <c r="Z30"/>
  <c r="Y30"/>
  <c r="X30"/>
  <c r="W30"/>
  <c r="V30"/>
  <c r="U30"/>
  <c r="T30"/>
  <c r="S30"/>
  <c r="R30"/>
  <c r="Q30"/>
  <c r="P30"/>
  <c r="O30"/>
  <c r="N30"/>
  <c r="M30"/>
  <c r="L30"/>
  <c r="K30"/>
  <c r="J30"/>
  <c r="I30"/>
  <c r="H30"/>
  <c r="G30"/>
  <c r="F30"/>
  <c r="E30"/>
  <c r="D28"/>
  <c r="D27"/>
  <c r="D26"/>
  <c r="D25"/>
  <c r="D24"/>
  <c r="D23"/>
  <c r="D22"/>
  <c r="D21"/>
  <c r="D20"/>
  <c r="D19"/>
  <c r="D18"/>
  <c r="D16"/>
  <c r="AI15"/>
  <c r="AH15"/>
  <c r="AG15"/>
  <c r="AF15"/>
  <c r="AE15"/>
  <c r="AD14"/>
  <c r="AD15" s="1"/>
  <c r="AC14"/>
  <c r="AC15" s="1"/>
  <c r="AB14"/>
  <c r="AB15" s="1"/>
  <c r="AA14"/>
  <c r="AA15" s="1"/>
  <c r="Z14"/>
  <c r="Z15" s="1"/>
  <c r="Y14"/>
  <c r="Y15" s="1"/>
  <c r="X14"/>
  <c r="X15" s="1"/>
  <c r="W14"/>
  <c r="V14"/>
  <c r="U14"/>
  <c r="T14"/>
  <c r="S14"/>
  <c r="R14"/>
  <c r="Q14"/>
  <c r="P14"/>
  <c r="O14"/>
  <c r="N14"/>
  <c r="M14"/>
  <c r="L14"/>
  <c r="K14"/>
  <c r="J14"/>
  <c r="I14"/>
  <c r="H14"/>
  <c r="G14"/>
  <c r="F14"/>
  <c r="E14"/>
  <c r="W13"/>
  <c r="V13"/>
  <c r="U13"/>
  <c r="T13"/>
  <c r="S13"/>
  <c r="R13"/>
  <c r="Q13"/>
  <c r="P13"/>
  <c r="O13"/>
  <c r="N13"/>
  <c r="M13"/>
  <c r="L13"/>
  <c r="K13"/>
  <c r="J13"/>
  <c r="I13"/>
  <c r="H13"/>
  <c r="G13"/>
  <c r="F13"/>
  <c r="E13"/>
  <c r="D12"/>
  <c r="D9"/>
  <c r="AI8"/>
  <c r="AI17" s="1"/>
  <c r="AH8"/>
  <c r="AG8"/>
  <c r="AF8"/>
  <c r="AE8"/>
  <c r="AE17" s="1"/>
  <c r="AD8"/>
  <c r="AC8"/>
  <c r="AB8"/>
  <c r="AB17" s="1"/>
  <c r="AA8"/>
  <c r="AA17" s="1"/>
  <c r="Z8"/>
  <c r="Y8"/>
  <c r="X8"/>
  <c r="W8"/>
  <c r="W17" s="1"/>
  <c r="V8"/>
  <c r="U8"/>
  <c r="T8"/>
  <c r="S8"/>
  <c r="S17" s="1"/>
  <c r="R8"/>
  <c r="Q8"/>
  <c r="P8"/>
  <c r="P17" s="1"/>
  <c r="O8"/>
  <c r="O17" s="1"/>
  <c r="N8"/>
  <c r="M8"/>
  <c r="L8"/>
  <c r="K8"/>
  <c r="K17" s="1"/>
  <c r="J8"/>
  <c r="I8"/>
  <c r="H8"/>
  <c r="G8"/>
  <c r="G17" s="1"/>
  <c r="F8"/>
  <c r="E8"/>
  <c r="D7"/>
  <c r="D6"/>
  <c r="AI5"/>
  <c r="AG5"/>
  <c r="AF5"/>
  <c r="AE5"/>
  <c r="AD5"/>
  <c r="AC5"/>
  <c r="AB5"/>
  <c r="AB10" s="1"/>
  <c r="AA5"/>
  <c r="Z5"/>
  <c r="Y5"/>
  <c r="X5"/>
  <c r="W5"/>
  <c r="V5"/>
  <c r="U5"/>
  <c r="T5"/>
  <c r="S5"/>
  <c r="R5"/>
  <c r="Q5"/>
  <c r="P5"/>
  <c r="O5"/>
  <c r="N5"/>
  <c r="M5"/>
  <c r="L5"/>
  <c r="K5"/>
  <c r="J5"/>
  <c r="I5"/>
  <c r="H5"/>
  <c r="G5"/>
  <c r="F5"/>
  <c r="E5"/>
  <c r="D4"/>
  <c r="D3"/>
  <c r="D37" i="10"/>
  <c r="D36"/>
  <c r="D35"/>
  <c r="D34"/>
  <c r="D33"/>
  <c r="D32"/>
  <c r="D31"/>
  <c r="AI30"/>
  <c r="AH30"/>
  <c r="AG30"/>
  <c r="AF30"/>
  <c r="AE30"/>
  <c r="AD30"/>
  <c r="AC30"/>
  <c r="AB30"/>
  <c r="AA30"/>
  <c r="Z30"/>
  <c r="Y30"/>
  <c r="X30"/>
  <c r="W30"/>
  <c r="V30"/>
  <c r="U30"/>
  <c r="T30"/>
  <c r="S30"/>
  <c r="R30"/>
  <c r="Q30"/>
  <c r="P30"/>
  <c r="O30"/>
  <c r="N30"/>
  <c r="M30"/>
  <c r="L30"/>
  <c r="K30"/>
  <c r="J30"/>
  <c r="I30"/>
  <c r="H30"/>
  <c r="G30"/>
  <c r="F30"/>
  <c r="E30"/>
  <c r="D28"/>
  <c r="D27"/>
  <c r="D26"/>
  <c r="D25"/>
  <c r="D24"/>
  <c r="D23"/>
  <c r="D22"/>
  <c r="D21"/>
  <c r="D20"/>
  <c r="D19"/>
  <c r="D18"/>
  <c r="D16"/>
  <c r="AI15"/>
  <c r="AH14"/>
  <c r="AG14"/>
  <c r="AF14"/>
  <c r="AE14"/>
  <c r="AD14"/>
  <c r="AC14"/>
  <c r="AB14"/>
  <c r="AA14"/>
  <c r="Z14"/>
  <c r="Y14"/>
  <c r="X14"/>
  <c r="W14"/>
  <c r="V14"/>
  <c r="U14"/>
  <c r="T14"/>
  <c r="S14"/>
  <c r="R14"/>
  <c r="Q14"/>
  <c r="P14"/>
  <c r="O14"/>
  <c r="N14"/>
  <c r="M14"/>
  <c r="L14"/>
  <c r="K14"/>
  <c r="J14"/>
  <c r="I14"/>
  <c r="H14"/>
  <c r="G14"/>
  <c r="F14"/>
  <c r="E14"/>
  <c r="AH13"/>
  <c r="AG13"/>
  <c r="AF13"/>
  <c r="AE13"/>
  <c r="AE15" s="1"/>
  <c r="AD13"/>
  <c r="AC13"/>
  <c r="AB13"/>
  <c r="AA13"/>
  <c r="AA15" s="1"/>
  <c r="Z13"/>
  <c r="Y13"/>
  <c r="X13"/>
  <c r="W13"/>
  <c r="W15" s="1"/>
  <c r="V13"/>
  <c r="U13"/>
  <c r="T13"/>
  <c r="S13"/>
  <c r="S15" s="1"/>
  <c r="R13"/>
  <c r="Q13"/>
  <c r="P13"/>
  <c r="O13"/>
  <c r="O15" s="1"/>
  <c r="N13"/>
  <c r="M13"/>
  <c r="L13"/>
  <c r="K13"/>
  <c r="K15" s="1"/>
  <c r="J13"/>
  <c r="I13"/>
  <c r="H13"/>
  <c r="G13"/>
  <c r="G15" s="1"/>
  <c r="F13"/>
  <c r="E13"/>
  <c r="R12"/>
  <c r="D12" s="1"/>
  <c r="D9"/>
  <c r="AI8"/>
  <c r="AH8"/>
  <c r="AH17" s="1"/>
  <c r="AG8"/>
  <c r="AG17" s="1"/>
  <c r="AF8"/>
  <c r="AE8"/>
  <c r="AD8"/>
  <c r="AD17" s="1"/>
  <c r="AC8"/>
  <c r="AC17" s="1"/>
  <c r="AB8"/>
  <c r="AB17" s="1"/>
  <c r="AA8"/>
  <c r="Z8"/>
  <c r="Z17" s="1"/>
  <c r="Y8"/>
  <c r="Y17" s="1"/>
  <c r="X8"/>
  <c r="W8"/>
  <c r="W17" s="1"/>
  <c r="V8"/>
  <c r="V17" s="1"/>
  <c r="U8"/>
  <c r="U17" s="1"/>
  <c r="T8"/>
  <c r="S8"/>
  <c r="R8"/>
  <c r="R17" s="1"/>
  <c r="Q8"/>
  <c r="Q17" s="1"/>
  <c r="P8"/>
  <c r="O8"/>
  <c r="N8"/>
  <c r="N17" s="1"/>
  <c r="M8"/>
  <c r="M17" s="1"/>
  <c r="L8"/>
  <c r="K8"/>
  <c r="J8"/>
  <c r="J17" s="1"/>
  <c r="I8"/>
  <c r="I17" s="1"/>
  <c r="H8"/>
  <c r="G8"/>
  <c r="G17" s="1"/>
  <c r="F8"/>
  <c r="F17" s="1"/>
  <c r="E8"/>
  <c r="E17" s="1"/>
  <c r="D7"/>
  <c r="D6"/>
  <c r="AI5"/>
  <c r="AH5"/>
  <c r="AG5"/>
  <c r="AF5"/>
  <c r="AE5"/>
  <c r="AD5"/>
  <c r="AD10" s="1"/>
  <c r="AC5"/>
  <c r="AB5"/>
  <c r="AA5"/>
  <c r="Z5"/>
  <c r="Y5"/>
  <c r="X5"/>
  <c r="W5"/>
  <c r="V5"/>
  <c r="U5"/>
  <c r="T5"/>
  <c r="S5"/>
  <c r="R5"/>
  <c r="Q5"/>
  <c r="P5"/>
  <c r="O5"/>
  <c r="N5"/>
  <c r="M5"/>
  <c r="L5"/>
  <c r="K5"/>
  <c r="J5"/>
  <c r="I5"/>
  <c r="H5"/>
  <c r="G5"/>
  <c r="F5"/>
  <c r="E5"/>
  <c r="D4"/>
  <c r="D3"/>
  <c r="D37" i="9"/>
  <c r="D36"/>
  <c r="D35"/>
  <c r="D34"/>
  <c r="D33"/>
  <c r="D32"/>
  <c r="D31"/>
  <c r="AI30"/>
  <c r="AH30"/>
  <c r="AG30"/>
  <c r="AF30"/>
  <c r="AE30"/>
  <c r="AD30"/>
  <c r="AC30"/>
  <c r="AB30"/>
  <c r="AA30"/>
  <c r="Z30"/>
  <c r="Y30"/>
  <c r="X30"/>
  <c r="W30"/>
  <c r="V30"/>
  <c r="U30"/>
  <c r="T30"/>
  <c r="S30"/>
  <c r="R30"/>
  <c r="Q30"/>
  <c r="P30"/>
  <c r="O30"/>
  <c r="N30"/>
  <c r="M30"/>
  <c r="L30"/>
  <c r="K30"/>
  <c r="J30"/>
  <c r="I30"/>
  <c r="H30"/>
  <c r="G30"/>
  <c r="F30"/>
  <c r="E30"/>
  <c r="D28"/>
  <c r="D27"/>
  <c r="D26"/>
  <c r="D25"/>
  <c r="D24"/>
  <c r="D23"/>
  <c r="D22"/>
  <c r="D21"/>
  <c r="D20"/>
  <c r="D19"/>
  <c r="D18"/>
  <c r="D16"/>
  <c r="S15"/>
  <c r="AI14"/>
  <c r="AH14"/>
  <c r="AG14"/>
  <c r="AF14"/>
  <c r="AE14"/>
  <c r="AD14"/>
  <c r="AC14"/>
  <c r="AB14"/>
  <c r="AA14"/>
  <c r="Z14"/>
  <c r="Y14"/>
  <c r="X14"/>
  <c r="W14"/>
  <c r="V14"/>
  <c r="U14"/>
  <c r="T14"/>
  <c r="S14"/>
  <c r="R14"/>
  <c r="Q14"/>
  <c r="P14"/>
  <c r="O14"/>
  <c r="N14"/>
  <c r="M14"/>
  <c r="L14"/>
  <c r="H14"/>
  <c r="G14"/>
  <c r="F14"/>
  <c r="E14"/>
  <c r="AI13"/>
  <c r="AI15" s="1"/>
  <c r="AH13"/>
  <c r="AH15" s="1"/>
  <c r="AG13"/>
  <c r="AG15" s="1"/>
  <c r="AF13"/>
  <c r="AF15" s="1"/>
  <c r="AE13"/>
  <c r="AE15" s="1"/>
  <c r="AD13"/>
  <c r="AD15" s="1"/>
  <c r="AC13"/>
  <c r="AC15" s="1"/>
  <c r="AB13"/>
  <c r="AB15" s="1"/>
  <c r="AA13"/>
  <c r="AA15" s="1"/>
  <c r="Z13"/>
  <c r="Z15" s="1"/>
  <c r="Y13"/>
  <c r="Y15" s="1"/>
  <c r="X13"/>
  <c r="X15" s="1"/>
  <c r="W13"/>
  <c r="V13"/>
  <c r="V15" s="1"/>
  <c r="U13"/>
  <c r="U15" s="1"/>
  <c r="T13"/>
  <c r="T15" s="1"/>
  <c r="S13"/>
  <c r="R13"/>
  <c r="R15" s="1"/>
  <c r="Q13"/>
  <c r="Q15" s="1"/>
  <c r="P13"/>
  <c r="P15" s="1"/>
  <c r="O13"/>
  <c r="O15" s="1"/>
  <c r="N13"/>
  <c r="N15" s="1"/>
  <c r="M13"/>
  <c r="M15" s="1"/>
  <c r="L13"/>
  <c r="L15" s="1"/>
  <c r="K13"/>
  <c r="K15" s="1"/>
  <c r="J13"/>
  <c r="J15" s="1"/>
  <c r="I13"/>
  <c r="I15" s="1"/>
  <c r="H13"/>
  <c r="H15" s="1"/>
  <c r="G13"/>
  <c r="F13"/>
  <c r="E13"/>
  <c r="D12"/>
  <c r="D9"/>
  <c r="AI8"/>
  <c r="AH8"/>
  <c r="AH17" s="1"/>
  <c r="AG8"/>
  <c r="AF8"/>
  <c r="AF17" s="1"/>
  <c r="AE8"/>
  <c r="AD8"/>
  <c r="AD17" s="1"/>
  <c r="AC8"/>
  <c r="AC17" s="1"/>
  <c r="AB8"/>
  <c r="AB17" s="1"/>
  <c r="AA8"/>
  <c r="Z8"/>
  <c r="Z17" s="1"/>
  <c r="Y8"/>
  <c r="Y11" s="1"/>
  <c r="X8"/>
  <c r="X17" s="1"/>
  <c r="W8"/>
  <c r="W17" s="1"/>
  <c r="V8"/>
  <c r="V17" s="1"/>
  <c r="U8"/>
  <c r="U11" s="1"/>
  <c r="T8"/>
  <c r="T17" s="1"/>
  <c r="S8"/>
  <c r="R8"/>
  <c r="R17" s="1"/>
  <c r="Q8"/>
  <c r="P8"/>
  <c r="P17" s="1"/>
  <c r="O8"/>
  <c r="O17" s="1"/>
  <c r="N8"/>
  <c r="N17" s="1"/>
  <c r="M8"/>
  <c r="M17" s="1"/>
  <c r="L8"/>
  <c r="L17" s="1"/>
  <c r="K8"/>
  <c r="J8"/>
  <c r="J17" s="1"/>
  <c r="I8"/>
  <c r="H8"/>
  <c r="H17" s="1"/>
  <c r="G8"/>
  <c r="G17" s="1"/>
  <c r="F8"/>
  <c r="F17" s="1"/>
  <c r="E8"/>
  <c r="E17" s="1"/>
  <c r="D7"/>
  <c r="D6"/>
  <c r="AI5"/>
  <c r="AH5"/>
  <c r="AG5"/>
  <c r="AF5"/>
  <c r="AE5"/>
  <c r="AD5"/>
  <c r="AC5"/>
  <c r="AB5"/>
  <c r="AA5"/>
  <c r="Z5"/>
  <c r="Y5"/>
  <c r="X5"/>
  <c r="W5"/>
  <c r="V5"/>
  <c r="U5"/>
  <c r="T5"/>
  <c r="S5"/>
  <c r="R5"/>
  <c r="Q5"/>
  <c r="P5"/>
  <c r="O5"/>
  <c r="N5"/>
  <c r="M5"/>
  <c r="L5"/>
  <c r="K5"/>
  <c r="J5"/>
  <c r="I5"/>
  <c r="H5"/>
  <c r="G5"/>
  <c r="F5"/>
  <c r="E5"/>
  <c r="D4"/>
  <c r="D3"/>
  <c r="D37" i="8"/>
  <c r="D36"/>
  <c r="D35"/>
  <c r="D34"/>
  <c r="D33"/>
  <c r="D32"/>
  <c r="D31"/>
  <c r="AI30"/>
  <c r="AH30"/>
  <c r="AG30"/>
  <c r="AF30"/>
  <c r="AE30"/>
  <c r="AD30"/>
  <c r="AC30"/>
  <c r="AB30"/>
  <c r="AA30"/>
  <c r="Z30"/>
  <c r="Y30"/>
  <c r="X30"/>
  <c r="W30"/>
  <c r="V30"/>
  <c r="U30"/>
  <c r="T30"/>
  <c r="S30"/>
  <c r="R30"/>
  <c r="Q30"/>
  <c r="P30"/>
  <c r="O30"/>
  <c r="N30"/>
  <c r="M30"/>
  <c r="L30"/>
  <c r="K30"/>
  <c r="J30"/>
  <c r="I30"/>
  <c r="H30"/>
  <c r="G30"/>
  <c r="F30"/>
  <c r="E30"/>
  <c r="D28"/>
  <c r="D27"/>
  <c r="D26"/>
  <c r="D25"/>
  <c r="D24"/>
  <c r="D23"/>
  <c r="D22"/>
  <c r="D21"/>
  <c r="D20"/>
  <c r="D19"/>
  <c r="D18"/>
  <c r="C18" s="1"/>
  <c r="D16"/>
  <c r="AI14"/>
  <c r="AH14"/>
  <c r="AG14"/>
  <c r="AF14"/>
  <c r="AE14"/>
  <c r="AD14"/>
  <c r="AC14"/>
  <c r="AB14"/>
  <c r="AA14"/>
  <c r="Z14"/>
  <c r="Y14"/>
  <c r="X14"/>
  <c r="W14"/>
  <c r="V14"/>
  <c r="U14"/>
  <c r="T14"/>
  <c r="S14"/>
  <c r="R14"/>
  <c r="Q14"/>
  <c r="P14"/>
  <c r="O14"/>
  <c r="N14"/>
  <c r="M14"/>
  <c r="L14"/>
  <c r="I14"/>
  <c r="H14"/>
  <c r="G14"/>
  <c r="F14"/>
  <c r="E14"/>
  <c r="AI13"/>
  <c r="AH13"/>
  <c r="AG13"/>
  <c r="AF13"/>
  <c r="AE13"/>
  <c r="AD13"/>
  <c r="AC13"/>
  <c r="AB13"/>
  <c r="AA13"/>
  <c r="Z13"/>
  <c r="Y13"/>
  <c r="X13"/>
  <c r="W13"/>
  <c r="V13"/>
  <c r="U13"/>
  <c r="T13"/>
  <c r="S13"/>
  <c r="R13"/>
  <c r="Q13"/>
  <c r="P13"/>
  <c r="O13"/>
  <c r="N13"/>
  <c r="M13"/>
  <c r="L13"/>
  <c r="K13"/>
  <c r="K15" s="1"/>
  <c r="J13"/>
  <c r="J15" s="1"/>
  <c r="I13"/>
  <c r="H13"/>
  <c r="G13"/>
  <c r="F13"/>
  <c r="E13"/>
  <c r="D12"/>
  <c r="D9"/>
  <c r="AI8"/>
  <c r="AH8"/>
  <c r="AG8"/>
  <c r="AF8"/>
  <c r="AE8"/>
  <c r="AE17" s="1"/>
  <c r="AD8"/>
  <c r="AC8"/>
  <c r="AC17" s="1"/>
  <c r="AB8"/>
  <c r="AA8"/>
  <c r="Z8"/>
  <c r="Y8"/>
  <c r="Y17" s="1"/>
  <c r="X8"/>
  <c r="W8"/>
  <c r="W17" s="1"/>
  <c r="V8"/>
  <c r="U8"/>
  <c r="U17" s="1"/>
  <c r="T8"/>
  <c r="S8"/>
  <c r="S17" s="1"/>
  <c r="R8"/>
  <c r="Q8"/>
  <c r="P8"/>
  <c r="O8"/>
  <c r="O17" s="1"/>
  <c r="N8"/>
  <c r="M8"/>
  <c r="M17" s="1"/>
  <c r="L8"/>
  <c r="K8"/>
  <c r="J8"/>
  <c r="I8"/>
  <c r="I17" s="1"/>
  <c r="H8"/>
  <c r="H17" s="1"/>
  <c r="G8"/>
  <c r="G17" s="1"/>
  <c r="F8"/>
  <c r="E8"/>
  <c r="E17" s="1"/>
  <c r="D7"/>
  <c r="D6"/>
  <c r="AI5"/>
  <c r="AH5"/>
  <c r="AG5"/>
  <c r="AF5"/>
  <c r="AE5"/>
  <c r="AD5"/>
  <c r="AC5"/>
  <c r="AB5"/>
  <c r="AA5"/>
  <c r="Z5"/>
  <c r="Y5"/>
  <c r="X5"/>
  <c r="W5"/>
  <c r="V5"/>
  <c r="U5"/>
  <c r="T5"/>
  <c r="S5"/>
  <c r="R5"/>
  <c r="Q5"/>
  <c r="P5"/>
  <c r="O5"/>
  <c r="N5"/>
  <c r="M5"/>
  <c r="L5"/>
  <c r="K5"/>
  <c r="J5"/>
  <c r="I5"/>
  <c r="H5"/>
  <c r="G5"/>
  <c r="F5"/>
  <c r="E5"/>
  <c r="D4"/>
  <c r="D3"/>
  <c r="D37" i="6"/>
  <c r="D36"/>
  <c r="D35"/>
  <c r="D34"/>
  <c r="D33"/>
  <c r="D32"/>
  <c r="D31"/>
  <c r="AI30"/>
  <c r="AH30"/>
  <c r="AG30"/>
  <c r="AF30"/>
  <c r="AE30"/>
  <c r="AD30"/>
  <c r="AC30"/>
  <c r="AB30"/>
  <c r="AA30"/>
  <c r="Z30"/>
  <c r="Y30"/>
  <c r="X30"/>
  <c r="W30"/>
  <c r="V30"/>
  <c r="U30"/>
  <c r="T30"/>
  <c r="S30"/>
  <c r="R30"/>
  <c r="Q30"/>
  <c r="P30"/>
  <c r="O30"/>
  <c r="N30"/>
  <c r="M30"/>
  <c r="L30"/>
  <c r="K30"/>
  <c r="J30"/>
  <c r="I30"/>
  <c r="H30"/>
  <c r="G30"/>
  <c r="F30"/>
  <c r="E30"/>
  <c r="D28"/>
  <c r="D27"/>
  <c r="D26"/>
  <c r="D25"/>
  <c r="D24"/>
  <c r="D23"/>
  <c r="D22"/>
  <c r="D21"/>
  <c r="D20"/>
  <c r="D19"/>
  <c r="D18"/>
  <c r="D16"/>
  <c r="AI15"/>
  <c r="AH14"/>
  <c r="AG14"/>
  <c r="AF14"/>
  <c r="AE14"/>
  <c r="AD14"/>
  <c r="AC14"/>
  <c r="AB14"/>
  <c r="AA14"/>
  <c r="Z14"/>
  <c r="Y14"/>
  <c r="X14"/>
  <c r="W14"/>
  <c r="V14"/>
  <c r="U14"/>
  <c r="T14"/>
  <c r="S14"/>
  <c r="R14"/>
  <c r="Q14"/>
  <c r="P14"/>
  <c r="P15" s="1"/>
  <c r="O14"/>
  <c r="O15" s="1"/>
  <c r="N14"/>
  <c r="N15" s="1"/>
  <c r="M14"/>
  <c r="M15" s="1"/>
  <c r="L14"/>
  <c r="L15" s="1"/>
  <c r="K14"/>
  <c r="K15" s="1"/>
  <c r="J14"/>
  <c r="J15" s="1"/>
  <c r="I14"/>
  <c r="I15" s="1"/>
  <c r="H14"/>
  <c r="H15" s="1"/>
  <c r="G14"/>
  <c r="F14"/>
  <c r="E14"/>
  <c r="AH13"/>
  <c r="AG13"/>
  <c r="AF13"/>
  <c r="AE13"/>
  <c r="AD13"/>
  <c r="AC13"/>
  <c r="AB13"/>
  <c r="AA13"/>
  <c r="Z13"/>
  <c r="Y13"/>
  <c r="X13"/>
  <c r="W13"/>
  <c r="V13"/>
  <c r="U13"/>
  <c r="T13"/>
  <c r="S13"/>
  <c r="R13"/>
  <c r="Q13"/>
  <c r="G13"/>
  <c r="F13"/>
  <c r="E13"/>
  <c r="D12"/>
  <c r="D9"/>
  <c r="AI8"/>
  <c r="AH8"/>
  <c r="AG8"/>
  <c r="AG11" s="1"/>
  <c r="AF8"/>
  <c r="AF17" s="1"/>
  <c r="AE8"/>
  <c r="AD8"/>
  <c r="AD17" s="1"/>
  <c r="AC8"/>
  <c r="AC10" s="1"/>
  <c r="AB8"/>
  <c r="AB17" s="1"/>
  <c r="AA8"/>
  <c r="Z8"/>
  <c r="Z17" s="1"/>
  <c r="Y8"/>
  <c r="Y11" s="1"/>
  <c r="X8"/>
  <c r="X17" s="1"/>
  <c r="W8"/>
  <c r="V8"/>
  <c r="U8"/>
  <c r="U10" s="1"/>
  <c r="T8"/>
  <c r="T17" s="1"/>
  <c r="S8"/>
  <c r="R8"/>
  <c r="R17" s="1"/>
  <c r="Q8"/>
  <c r="Q11" s="1"/>
  <c r="P8"/>
  <c r="P17" s="1"/>
  <c r="O8"/>
  <c r="N8"/>
  <c r="N17" s="1"/>
  <c r="M8"/>
  <c r="M10" s="1"/>
  <c r="L8"/>
  <c r="L17" s="1"/>
  <c r="K8"/>
  <c r="J8"/>
  <c r="J17" s="1"/>
  <c r="I8"/>
  <c r="I11" s="1"/>
  <c r="H8"/>
  <c r="H17" s="1"/>
  <c r="G8"/>
  <c r="F8"/>
  <c r="F17" s="1"/>
  <c r="E8"/>
  <c r="E11" s="1"/>
  <c r="D7"/>
  <c r="D6"/>
  <c r="AI5"/>
  <c r="AH5"/>
  <c r="AG5"/>
  <c r="AF5"/>
  <c r="AE5"/>
  <c r="AD5"/>
  <c r="AC5"/>
  <c r="AB5"/>
  <c r="AA5"/>
  <c r="Z5"/>
  <c r="Y5"/>
  <c r="X5"/>
  <c r="W5"/>
  <c r="V5"/>
  <c r="U5"/>
  <c r="T5"/>
  <c r="S5"/>
  <c r="R5"/>
  <c r="Q5"/>
  <c r="P5"/>
  <c r="O5"/>
  <c r="N5"/>
  <c r="M5"/>
  <c r="L5"/>
  <c r="K5"/>
  <c r="J5"/>
  <c r="I5"/>
  <c r="H5"/>
  <c r="G5"/>
  <c r="F5"/>
  <c r="E5"/>
  <c r="D4"/>
  <c r="D3"/>
  <c r="D37" i="5"/>
  <c r="D36"/>
  <c r="D35"/>
  <c r="D34"/>
  <c r="D33"/>
  <c r="D32"/>
  <c r="D31"/>
  <c r="AI30"/>
  <c r="AH30"/>
  <c r="AG30"/>
  <c r="AF30"/>
  <c r="AE30"/>
  <c r="AD30"/>
  <c r="AC30"/>
  <c r="AB30"/>
  <c r="AA30"/>
  <c r="Z30"/>
  <c r="Y30"/>
  <c r="X30"/>
  <c r="W30"/>
  <c r="V30"/>
  <c r="U30"/>
  <c r="T30"/>
  <c r="S30"/>
  <c r="R30"/>
  <c r="Q30"/>
  <c r="P30"/>
  <c r="O30"/>
  <c r="N30"/>
  <c r="M30"/>
  <c r="L30"/>
  <c r="K30"/>
  <c r="J30"/>
  <c r="I30"/>
  <c r="H30"/>
  <c r="G30"/>
  <c r="F30"/>
  <c r="E30"/>
  <c r="D28"/>
  <c r="D27"/>
  <c r="D26"/>
  <c r="D25"/>
  <c r="D24"/>
  <c r="D23"/>
  <c r="D22"/>
  <c r="D21"/>
  <c r="D20"/>
  <c r="D19"/>
  <c r="D18"/>
  <c r="C18" s="1"/>
  <c r="D16"/>
  <c r="AE15"/>
  <c r="AD15"/>
  <c r="AC15"/>
  <c r="AB15"/>
  <c r="AA15"/>
  <c r="Z15"/>
  <c r="Y15"/>
  <c r="X15"/>
  <c r="V15"/>
  <c r="U15"/>
  <c r="T15"/>
  <c r="S15"/>
  <c r="R15"/>
  <c r="Q15"/>
  <c r="P15"/>
  <c r="O15"/>
  <c r="N15"/>
  <c r="M15"/>
  <c r="L15"/>
  <c r="K15"/>
  <c r="J15"/>
  <c r="I15"/>
  <c r="H15"/>
  <c r="G15"/>
  <c r="F15"/>
  <c r="E15"/>
  <c r="AI14"/>
  <c r="AH14"/>
  <c r="AG14"/>
  <c r="AF14"/>
  <c r="W14"/>
  <c r="AI13"/>
  <c r="AH13"/>
  <c r="AG13"/>
  <c r="AF13"/>
  <c r="W13"/>
  <c r="D12"/>
  <c r="D9"/>
  <c r="AI8"/>
  <c r="AI17" s="1"/>
  <c r="AH8"/>
  <c r="AG8"/>
  <c r="AG17" s="1"/>
  <c r="AF8"/>
  <c r="AE8"/>
  <c r="AD8"/>
  <c r="AC8"/>
  <c r="AC17" s="1"/>
  <c r="AB8"/>
  <c r="AA8"/>
  <c r="AA17" s="1"/>
  <c r="Z8"/>
  <c r="Y8"/>
  <c r="Y17" s="1"/>
  <c r="X8"/>
  <c r="W8"/>
  <c r="W17" s="1"/>
  <c r="V8"/>
  <c r="U8"/>
  <c r="U17" s="1"/>
  <c r="T8"/>
  <c r="S8"/>
  <c r="S17" s="1"/>
  <c r="R8"/>
  <c r="Q8"/>
  <c r="Q17" s="1"/>
  <c r="P8"/>
  <c r="O8"/>
  <c r="N8"/>
  <c r="M8"/>
  <c r="M17" s="1"/>
  <c r="L8"/>
  <c r="K8"/>
  <c r="K17" s="1"/>
  <c r="J8"/>
  <c r="I8"/>
  <c r="I17" s="1"/>
  <c r="H8"/>
  <c r="G8"/>
  <c r="F8"/>
  <c r="E8"/>
  <c r="E17" s="1"/>
  <c r="D7"/>
  <c r="D6"/>
  <c r="AI5"/>
  <c r="AI11" s="1"/>
  <c r="AH5"/>
  <c r="AH11" s="1"/>
  <c r="AG5"/>
  <c r="AG11" s="1"/>
  <c r="AF5"/>
  <c r="AF11" s="1"/>
  <c r="AE5"/>
  <c r="AE11" s="1"/>
  <c r="AD5"/>
  <c r="AD11" s="1"/>
  <c r="AC5"/>
  <c r="AC11" s="1"/>
  <c r="AB5"/>
  <c r="AB11" s="1"/>
  <c r="AA5"/>
  <c r="AA11" s="1"/>
  <c r="Z5"/>
  <c r="Z11" s="1"/>
  <c r="Y5"/>
  <c r="Y11" s="1"/>
  <c r="X5"/>
  <c r="X11" s="1"/>
  <c r="W5"/>
  <c r="W11" s="1"/>
  <c r="V5"/>
  <c r="V11" s="1"/>
  <c r="U5"/>
  <c r="U11" s="1"/>
  <c r="T5"/>
  <c r="T11" s="1"/>
  <c r="S5"/>
  <c r="S11" s="1"/>
  <c r="R5"/>
  <c r="R11" s="1"/>
  <c r="Q5"/>
  <c r="Q11" s="1"/>
  <c r="P5"/>
  <c r="P11" s="1"/>
  <c r="O5"/>
  <c r="O11" s="1"/>
  <c r="N5"/>
  <c r="N11" s="1"/>
  <c r="M5"/>
  <c r="M11" s="1"/>
  <c r="L5"/>
  <c r="L11" s="1"/>
  <c r="K5"/>
  <c r="K11" s="1"/>
  <c r="J5"/>
  <c r="J11" s="1"/>
  <c r="I5"/>
  <c r="I11" s="1"/>
  <c r="H5"/>
  <c r="H11" s="1"/>
  <c r="G5"/>
  <c r="G11" s="1"/>
  <c r="F5"/>
  <c r="F11" s="1"/>
  <c r="E5"/>
  <c r="D4"/>
  <c r="D3"/>
  <c r="D37" i="4"/>
  <c r="D36"/>
  <c r="D35"/>
  <c r="D34"/>
  <c r="D33"/>
  <c r="D32"/>
  <c r="D31"/>
  <c r="AI30"/>
  <c r="AH30"/>
  <c r="AG30"/>
  <c r="AF30"/>
  <c r="AE30"/>
  <c r="AD30"/>
  <c r="AC30"/>
  <c r="AB30"/>
  <c r="AA30"/>
  <c r="Z30"/>
  <c r="Y30"/>
  <c r="X30"/>
  <c r="W30"/>
  <c r="V30"/>
  <c r="U30"/>
  <c r="T30"/>
  <c r="S30"/>
  <c r="R30"/>
  <c r="Q30"/>
  <c r="P30"/>
  <c r="O30"/>
  <c r="N30"/>
  <c r="M30"/>
  <c r="L30"/>
  <c r="K30"/>
  <c r="J30"/>
  <c r="I30"/>
  <c r="H30"/>
  <c r="G30"/>
  <c r="F30"/>
  <c r="E30"/>
  <c r="C29"/>
  <c r="C29" i="5" s="1"/>
  <c r="C29" i="6" s="1"/>
  <c r="C29" i="8" s="1"/>
  <c r="C29" i="9" s="1"/>
  <c r="C29" i="10" s="1"/>
  <c r="C29" i="11" s="1"/>
  <c r="C29" i="14" s="1"/>
  <c r="C29" i="15" s="1"/>
  <c r="D28" i="4"/>
  <c r="D27"/>
  <c r="D26"/>
  <c r="D25"/>
  <c r="D24"/>
  <c r="D23"/>
  <c r="D22"/>
  <c r="D21"/>
  <c r="D20"/>
  <c r="D19"/>
  <c r="D18"/>
  <c r="D16"/>
  <c r="AI15"/>
  <c r="AH15"/>
  <c r="AG15"/>
  <c r="AF15"/>
  <c r="AE15"/>
  <c r="AD15"/>
  <c r="AC15"/>
  <c r="AB15"/>
  <c r="AA15"/>
  <c r="Z15"/>
  <c r="Y15"/>
  <c r="X15"/>
  <c r="W15"/>
  <c r="V15"/>
  <c r="U15"/>
  <c r="T15"/>
  <c r="S15"/>
  <c r="R15"/>
  <c r="Q15"/>
  <c r="P15"/>
  <c r="O15"/>
  <c r="N15"/>
  <c r="M15"/>
  <c r="L15"/>
  <c r="K15"/>
  <c r="J15"/>
  <c r="I15"/>
  <c r="H15"/>
  <c r="G15"/>
  <c r="F15"/>
  <c r="E15"/>
  <c r="D14"/>
  <c r="D13"/>
  <c r="D12"/>
  <c r="AG11"/>
  <c r="I11"/>
  <c r="D9"/>
  <c r="AI8"/>
  <c r="AH8"/>
  <c r="AH17" s="1"/>
  <c r="AG8"/>
  <c r="AF8"/>
  <c r="AF17" s="1"/>
  <c r="AE8"/>
  <c r="AD8"/>
  <c r="AD17" s="1"/>
  <c r="AC8"/>
  <c r="AB8"/>
  <c r="AB17" s="1"/>
  <c r="AA8"/>
  <c r="Z8"/>
  <c r="Z17" s="1"/>
  <c r="Y8"/>
  <c r="X8"/>
  <c r="X17" s="1"/>
  <c r="W8"/>
  <c r="V8"/>
  <c r="V17" s="1"/>
  <c r="U8"/>
  <c r="T8"/>
  <c r="T17" s="1"/>
  <c r="S8"/>
  <c r="R8"/>
  <c r="R17" s="1"/>
  <c r="Q8"/>
  <c r="P8"/>
  <c r="P17" s="1"/>
  <c r="O8"/>
  <c r="N8"/>
  <c r="N17" s="1"/>
  <c r="M8"/>
  <c r="L8"/>
  <c r="L17" s="1"/>
  <c r="K8"/>
  <c r="J8"/>
  <c r="J17" s="1"/>
  <c r="I8"/>
  <c r="H8"/>
  <c r="H17" s="1"/>
  <c r="G8"/>
  <c r="F8"/>
  <c r="F17" s="1"/>
  <c r="E8"/>
  <c r="D7"/>
  <c r="D6"/>
  <c r="AI5"/>
  <c r="AI11" s="1"/>
  <c r="AH5"/>
  <c r="AH11" s="1"/>
  <c r="AG5"/>
  <c r="AF5"/>
  <c r="AF11" s="1"/>
  <c r="AE5"/>
  <c r="AE11" s="1"/>
  <c r="AD5"/>
  <c r="AD11" s="1"/>
  <c r="AC5"/>
  <c r="AC11" s="1"/>
  <c r="AB5"/>
  <c r="AB11" s="1"/>
  <c r="AA5"/>
  <c r="AA11" s="1"/>
  <c r="Z5"/>
  <c r="Z11" s="1"/>
  <c r="Y5"/>
  <c r="Y11" s="1"/>
  <c r="X5"/>
  <c r="X11" s="1"/>
  <c r="W5"/>
  <c r="W11" s="1"/>
  <c r="V5"/>
  <c r="V11" s="1"/>
  <c r="U5"/>
  <c r="U11" s="1"/>
  <c r="T5"/>
  <c r="T11" s="1"/>
  <c r="S5"/>
  <c r="S11" s="1"/>
  <c r="R5"/>
  <c r="R11" s="1"/>
  <c r="Q5"/>
  <c r="Q11" s="1"/>
  <c r="P5"/>
  <c r="P11" s="1"/>
  <c r="O5"/>
  <c r="O11" s="1"/>
  <c r="N5"/>
  <c r="N11" s="1"/>
  <c r="M5"/>
  <c r="M11" s="1"/>
  <c r="L5"/>
  <c r="L11" s="1"/>
  <c r="K5"/>
  <c r="K11" s="1"/>
  <c r="J5"/>
  <c r="J11" s="1"/>
  <c r="I5"/>
  <c r="H5"/>
  <c r="H11" s="1"/>
  <c r="G5"/>
  <c r="G11" s="1"/>
  <c r="F5"/>
  <c r="F11" s="1"/>
  <c r="E5"/>
  <c r="E11" s="1"/>
  <c r="D4"/>
  <c r="D3"/>
  <c r="D37" i="3"/>
  <c r="D36"/>
  <c r="D35"/>
  <c r="D34"/>
  <c r="D33"/>
  <c r="D32"/>
  <c r="D31"/>
  <c r="AI30"/>
  <c r="AH30"/>
  <c r="AG30"/>
  <c r="AF30"/>
  <c r="AE30"/>
  <c r="AD30"/>
  <c r="AC30"/>
  <c r="AB30"/>
  <c r="AA30"/>
  <c r="Z30"/>
  <c r="Y30"/>
  <c r="X30"/>
  <c r="W30"/>
  <c r="V30"/>
  <c r="U30"/>
  <c r="T30"/>
  <c r="S30"/>
  <c r="R30"/>
  <c r="Q30"/>
  <c r="P30"/>
  <c r="O30"/>
  <c r="N30"/>
  <c r="M30"/>
  <c r="L30"/>
  <c r="K30"/>
  <c r="J30"/>
  <c r="I30"/>
  <c r="H30"/>
  <c r="G30"/>
  <c r="F30"/>
  <c r="E30"/>
  <c r="D28"/>
  <c r="D27"/>
  <c r="D26"/>
  <c r="D25"/>
  <c r="D24"/>
  <c r="D23"/>
  <c r="D22"/>
  <c r="D21"/>
  <c r="D20"/>
  <c r="D19"/>
  <c r="D18"/>
  <c r="D16"/>
  <c r="AI15"/>
  <c r="AH15"/>
  <c r="AG15"/>
  <c r="AF15"/>
  <c r="AE15"/>
  <c r="AD15"/>
  <c r="AC15"/>
  <c r="AB15"/>
  <c r="AA15"/>
  <c r="Z15"/>
  <c r="Y15"/>
  <c r="X15"/>
  <c r="W15"/>
  <c r="V15"/>
  <c r="U15"/>
  <c r="T15"/>
  <c r="S15"/>
  <c r="R15"/>
  <c r="Q15"/>
  <c r="P15"/>
  <c r="O15"/>
  <c r="N15"/>
  <c r="M15"/>
  <c r="L15"/>
  <c r="K15"/>
  <c r="J15"/>
  <c r="I15"/>
  <c r="H15"/>
  <c r="G15"/>
  <c r="F15"/>
  <c r="E15"/>
  <c r="D14"/>
  <c r="D13"/>
  <c r="D12"/>
  <c r="D9"/>
  <c r="AI8"/>
  <c r="AH8"/>
  <c r="AH17" s="1"/>
  <c r="AG8"/>
  <c r="AF8"/>
  <c r="AF17" s="1"/>
  <c r="AE8"/>
  <c r="AD8"/>
  <c r="AD17" s="1"/>
  <c r="AC8"/>
  <c r="AB8"/>
  <c r="AB17" s="1"/>
  <c r="AA8"/>
  <c r="Z8"/>
  <c r="Z10" s="1"/>
  <c r="Y8"/>
  <c r="X8"/>
  <c r="X17" s="1"/>
  <c r="W8"/>
  <c r="V8"/>
  <c r="V17" s="1"/>
  <c r="U8"/>
  <c r="T8"/>
  <c r="T17" s="1"/>
  <c r="S8"/>
  <c r="R8"/>
  <c r="R17" s="1"/>
  <c r="Q8"/>
  <c r="P8"/>
  <c r="P17" s="1"/>
  <c r="O8"/>
  <c r="N8"/>
  <c r="N17" s="1"/>
  <c r="M8"/>
  <c r="L8"/>
  <c r="L17" s="1"/>
  <c r="K8"/>
  <c r="J8"/>
  <c r="J10" s="1"/>
  <c r="I8"/>
  <c r="H8"/>
  <c r="H17" s="1"/>
  <c r="G8"/>
  <c r="F8"/>
  <c r="F17" s="1"/>
  <c r="E8"/>
  <c r="D7"/>
  <c r="D6"/>
  <c r="AI5"/>
  <c r="AI11" s="1"/>
  <c r="AH5"/>
  <c r="AH11" s="1"/>
  <c r="AG5"/>
  <c r="AG11" s="1"/>
  <c r="AF5"/>
  <c r="AF11" s="1"/>
  <c r="AE5"/>
  <c r="AE11" s="1"/>
  <c r="AD5"/>
  <c r="AD11" s="1"/>
  <c r="AC5"/>
  <c r="AC11" s="1"/>
  <c r="AB5"/>
  <c r="AB11" s="1"/>
  <c r="AA5"/>
  <c r="AA11" s="1"/>
  <c r="Z5"/>
  <c r="Z11" s="1"/>
  <c r="Y5"/>
  <c r="Y11" s="1"/>
  <c r="X5"/>
  <c r="X11" s="1"/>
  <c r="W5"/>
  <c r="W11" s="1"/>
  <c r="V5"/>
  <c r="V11" s="1"/>
  <c r="U5"/>
  <c r="U11" s="1"/>
  <c r="T5"/>
  <c r="T11" s="1"/>
  <c r="S5"/>
  <c r="S11" s="1"/>
  <c r="R5"/>
  <c r="R11" s="1"/>
  <c r="Q5"/>
  <c r="Q11" s="1"/>
  <c r="P5"/>
  <c r="P11" s="1"/>
  <c r="O5"/>
  <c r="O11" s="1"/>
  <c r="N5"/>
  <c r="N11" s="1"/>
  <c r="M5"/>
  <c r="M11" s="1"/>
  <c r="L5"/>
  <c r="L11" s="1"/>
  <c r="K5"/>
  <c r="K11" s="1"/>
  <c r="J5"/>
  <c r="J11" s="1"/>
  <c r="I5"/>
  <c r="I11" s="1"/>
  <c r="H5"/>
  <c r="H11" s="1"/>
  <c r="G5"/>
  <c r="G11" s="1"/>
  <c r="F5"/>
  <c r="F11" s="1"/>
  <c r="E5"/>
  <c r="E11" s="1"/>
  <c r="D4"/>
  <c r="D3"/>
  <c r="D37" i="2"/>
  <c r="D36"/>
  <c r="D35"/>
  <c r="D34"/>
  <c r="D33"/>
  <c r="D32"/>
  <c r="D31"/>
  <c r="AI30"/>
  <c r="AH30"/>
  <c r="AG30"/>
  <c r="AF30"/>
  <c r="AE30"/>
  <c r="AD30"/>
  <c r="AC30"/>
  <c r="AB30"/>
  <c r="AA30"/>
  <c r="Z30"/>
  <c r="Y30"/>
  <c r="X30"/>
  <c r="W30"/>
  <c r="V30"/>
  <c r="U30"/>
  <c r="T30"/>
  <c r="S30"/>
  <c r="R30"/>
  <c r="Q30"/>
  <c r="P30"/>
  <c r="O30"/>
  <c r="N30"/>
  <c r="M30"/>
  <c r="L30"/>
  <c r="K30"/>
  <c r="J30"/>
  <c r="I30"/>
  <c r="H30"/>
  <c r="G30"/>
  <c r="F30"/>
  <c r="E30"/>
  <c r="D28"/>
  <c r="D27"/>
  <c r="D26"/>
  <c r="D25"/>
  <c r="D24"/>
  <c r="D23"/>
  <c r="D22"/>
  <c r="D21"/>
  <c r="D20"/>
  <c r="D19"/>
  <c r="D18"/>
  <c r="D16"/>
  <c r="AI15"/>
  <c r="AH15"/>
  <c r="AG15"/>
  <c r="AF15"/>
  <c r="AE15"/>
  <c r="AD15"/>
  <c r="AC15"/>
  <c r="AB15"/>
  <c r="AA15"/>
  <c r="Z15"/>
  <c r="Y15"/>
  <c r="X15"/>
  <c r="W15"/>
  <c r="V15"/>
  <c r="U15"/>
  <c r="T15"/>
  <c r="S15"/>
  <c r="R15"/>
  <c r="Q15"/>
  <c r="P15"/>
  <c r="O15"/>
  <c r="N15"/>
  <c r="M15"/>
  <c r="L15"/>
  <c r="K15"/>
  <c r="J15"/>
  <c r="I15"/>
  <c r="H15"/>
  <c r="G15"/>
  <c r="F15"/>
  <c r="E15"/>
  <c r="D14"/>
  <c r="D13"/>
  <c r="D12"/>
  <c r="D9"/>
  <c r="AI8"/>
  <c r="AH8"/>
  <c r="AH17" s="1"/>
  <c r="AG8"/>
  <c r="AF8"/>
  <c r="AF17" s="1"/>
  <c r="AE8"/>
  <c r="AD8"/>
  <c r="AD17" s="1"/>
  <c r="AC8"/>
  <c r="AB8"/>
  <c r="AB10" s="1"/>
  <c r="AA8"/>
  <c r="Z8"/>
  <c r="Z17" s="1"/>
  <c r="Y8"/>
  <c r="X8"/>
  <c r="X17" s="1"/>
  <c r="W8"/>
  <c r="V8"/>
  <c r="V17" s="1"/>
  <c r="U8"/>
  <c r="T8"/>
  <c r="T10" s="1"/>
  <c r="S8"/>
  <c r="R8"/>
  <c r="R17" s="1"/>
  <c r="Q8"/>
  <c r="P8"/>
  <c r="P17" s="1"/>
  <c r="O8"/>
  <c r="N8"/>
  <c r="N17" s="1"/>
  <c r="M8"/>
  <c r="L8"/>
  <c r="L10" s="1"/>
  <c r="K8"/>
  <c r="J8"/>
  <c r="J17" s="1"/>
  <c r="I8"/>
  <c r="H8"/>
  <c r="H17" s="1"/>
  <c r="G8"/>
  <c r="F8"/>
  <c r="F17" s="1"/>
  <c r="E8"/>
  <c r="D7"/>
  <c r="D6"/>
  <c r="AI5"/>
  <c r="AI11" s="1"/>
  <c r="AH5"/>
  <c r="AH11" s="1"/>
  <c r="AG5"/>
  <c r="AG11" s="1"/>
  <c r="AF5"/>
  <c r="AF11" s="1"/>
  <c r="AE5"/>
  <c r="AE11" s="1"/>
  <c r="AD5"/>
  <c r="AD11" s="1"/>
  <c r="AC5"/>
  <c r="AC11" s="1"/>
  <c r="AB5"/>
  <c r="AB11" s="1"/>
  <c r="AA5"/>
  <c r="AA11" s="1"/>
  <c r="Z5"/>
  <c r="Z11" s="1"/>
  <c r="Y5"/>
  <c r="Y11" s="1"/>
  <c r="X5"/>
  <c r="X11" s="1"/>
  <c r="W5"/>
  <c r="W11" s="1"/>
  <c r="V5"/>
  <c r="V11" s="1"/>
  <c r="U5"/>
  <c r="U11" s="1"/>
  <c r="T5"/>
  <c r="T11" s="1"/>
  <c r="S5"/>
  <c r="S11" s="1"/>
  <c r="R5"/>
  <c r="R11" s="1"/>
  <c r="Q5"/>
  <c r="Q11" s="1"/>
  <c r="P5"/>
  <c r="P11" s="1"/>
  <c r="O5"/>
  <c r="O11" s="1"/>
  <c r="N5"/>
  <c r="N11" s="1"/>
  <c r="M5"/>
  <c r="M11" s="1"/>
  <c r="L5"/>
  <c r="L11" s="1"/>
  <c r="K5"/>
  <c r="K11" s="1"/>
  <c r="J5"/>
  <c r="J11" s="1"/>
  <c r="I5"/>
  <c r="I11" s="1"/>
  <c r="H5"/>
  <c r="H11" s="1"/>
  <c r="G5"/>
  <c r="G11" s="1"/>
  <c r="F5"/>
  <c r="F11" s="1"/>
  <c r="E5"/>
  <c r="E11" s="1"/>
  <c r="D4"/>
  <c r="D3"/>
  <c r="D37" i="1"/>
  <c r="C37" s="1"/>
  <c r="D36"/>
  <c r="C36" s="1"/>
  <c r="C36" i="2" s="1"/>
  <c r="D35" i="1"/>
  <c r="C35" s="1"/>
  <c r="D34"/>
  <c r="C34" s="1"/>
  <c r="D33"/>
  <c r="D32"/>
  <c r="C32" s="1"/>
  <c r="D31"/>
  <c r="C31" s="1"/>
  <c r="AI30"/>
  <c r="AH30"/>
  <c r="AG30"/>
  <c r="AF30"/>
  <c r="AE30"/>
  <c r="AD30"/>
  <c r="AC30"/>
  <c r="AB30"/>
  <c r="AA30"/>
  <c r="Z30"/>
  <c r="Y30"/>
  <c r="X30"/>
  <c r="W30"/>
  <c r="V30"/>
  <c r="U30"/>
  <c r="T30"/>
  <c r="S30"/>
  <c r="R30"/>
  <c r="Q30"/>
  <c r="P30"/>
  <c r="O30"/>
  <c r="N30"/>
  <c r="M30"/>
  <c r="L30"/>
  <c r="K30"/>
  <c r="J30"/>
  <c r="I30"/>
  <c r="H30"/>
  <c r="G30"/>
  <c r="F30"/>
  <c r="E30"/>
  <c r="D28"/>
  <c r="C28" s="1"/>
  <c r="D27"/>
  <c r="C27" s="1"/>
  <c r="C27" i="2" s="1"/>
  <c r="C27" i="3" s="1"/>
  <c r="D26" i="1"/>
  <c r="C26" s="1"/>
  <c r="D25"/>
  <c r="C25" s="1"/>
  <c r="D24"/>
  <c r="C24" s="1"/>
  <c r="D23"/>
  <c r="C23" s="1"/>
  <c r="C23" i="2" s="1"/>
  <c r="C23" i="3" s="1"/>
  <c r="D22" i="1"/>
  <c r="C22" s="1"/>
  <c r="D21"/>
  <c r="C21" s="1"/>
  <c r="D20"/>
  <c r="C20" s="1"/>
  <c r="D19"/>
  <c r="C19" s="1"/>
  <c r="D16"/>
  <c r="C16" s="1"/>
  <c r="AI15"/>
  <c r="AH15"/>
  <c r="AG15"/>
  <c r="AF15"/>
  <c r="AE15"/>
  <c r="AD15"/>
  <c r="AC15"/>
  <c r="AB15"/>
  <c r="AA15"/>
  <c r="Z15"/>
  <c r="Y15"/>
  <c r="X15"/>
  <c r="W15"/>
  <c r="V15"/>
  <c r="U15"/>
  <c r="T15"/>
  <c r="S15"/>
  <c r="R15"/>
  <c r="Q15"/>
  <c r="P15"/>
  <c r="O15"/>
  <c r="N15"/>
  <c r="M15"/>
  <c r="L15"/>
  <c r="K15"/>
  <c r="J15"/>
  <c r="I15"/>
  <c r="H15"/>
  <c r="G15"/>
  <c r="F15"/>
  <c r="E15"/>
  <c r="D14"/>
  <c r="C14" s="1"/>
  <c r="D13"/>
  <c r="C13" s="1"/>
  <c r="D12"/>
  <c r="C12" s="1"/>
  <c r="C12" i="2" s="1"/>
  <c r="D9" i="1"/>
  <c r="C9" s="1"/>
  <c r="AI8"/>
  <c r="AH8"/>
  <c r="AH17" s="1"/>
  <c r="AG8"/>
  <c r="AF8"/>
  <c r="AF17" s="1"/>
  <c r="AE8"/>
  <c r="AD8"/>
  <c r="AD17" s="1"/>
  <c r="AC8"/>
  <c r="AB8"/>
  <c r="AB17" s="1"/>
  <c r="AA8"/>
  <c r="Z8"/>
  <c r="Z17" s="1"/>
  <c r="Y8"/>
  <c r="X8"/>
  <c r="X17" s="1"/>
  <c r="W8"/>
  <c r="V8"/>
  <c r="V17" s="1"/>
  <c r="U8"/>
  <c r="T8"/>
  <c r="T17" s="1"/>
  <c r="S8"/>
  <c r="R8"/>
  <c r="R17" s="1"/>
  <c r="Q8"/>
  <c r="P8"/>
  <c r="P17" s="1"/>
  <c r="O8"/>
  <c r="N8"/>
  <c r="N17" s="1"/>
  <c r="M8"/>
  <c r="L8"/>
  <c r="L17" s="1"/>
  <c r="K8"/>
  <c r="J8"/>
  <c r="J17" s="1"/>
  <c r="I8"/>
  <c r="H8"/>
  <c r="H17" s="1"/>
  <c r="G8"/>
  <c r="F8"/>
  <c r="F17" s="1"/>
  <c r="E8"/>
  <c r="D7"/>
  <c r="C7" s="1"/>
  <c r="D6"/>
  <c r="C6" s="1"/>
  <c r="AI5"/>
  <c r="AI11" s="1"/>
  <c r="AH5"/>
  <c r="AH11" s="1"/>
  <c r="AG5"/>
  <c r="AG11" s="1"/>
  <c r="AF5"/>
  <c r="AF11" s="1"/>
  <c r="AE5"/>
  <c r="AE11" s="1"/>
  <c r="AD5"/>
  <c r="AD11" s="1"/>
  <c r="AC5"/>
  <c r="AC11" s="1"/>
  <c r="AB5"/>
  <c r="AB11" s="1"/>
  <c r="AA5"/>
  <c r="AA11" s="1"/>
  <c r="Z5"/>
  <c r="Z11" s="1"/>
  <c r="Y5"/>
  <c r="Y11" s="1"/>
  <c r="X5"/>
  <c r="X11" s="1"/>
  <c r="W5"/>
  <c r="W11" s="1"/>
  <c r="V5"/>
  <c r="V11" s="1"/>
  <c r="U5"/>
  <c r="U11" s="1"/>
  <c r="T5"/>
  <c r="T11" s="1"/>
  <c r="S5"/>
  <c r="S11" s="1"/>
  <c r="R5"/>
  <c r="R11" s="1"/>
  <c r="Q5"/>
  <c r="Q11" s="1"/>
  <c r="P5"/>
  <c r="P11" s="1"/>
  <c r="O5"/>
  <c r="O11" s="1"/>
  <c r="N5"/>
  <c r="N11" s="1"/>
  <c r="M5"/>
  <c r="M11" s="1"/>
  <c r="L5"/>
  <c r="L11" s="1"/>
  <c r="K5"/>
  <c r="K11" s="1"/>
  <c r="J5"/>
  <c r="J11" s="1"/>
  <c r="I5"/>
  <c r="I11" s="1"/>
  <c r="H5"/>
  <c r="H11" s="1"/>
  <c r="G5"/>
  <c r="G11" s="1"/>
  <c r="F5"/>
  <c r="F11" s="1"/>
  <c r="E5"/>
  <c r="E11" s="1"/>
  <c r="D4"/>
  <c r="C4" s="1"/>
  <c r="D3"/>
  <c r="C3" s="1"/>
  <c r="U15" i="15" l="1"/>
  <c r="I10"/>
  <c r="M10"/>
  <c r="Q10"/>
  <c r="U10"/>
  <c r="Y10"/>
  <c r="AC10"/>
  <c r="AD11"/>
  <c r="E15"/>
  <c r="I15"/>
  <c r="M15"/>
  <c r="Q15"/>
  <c r="V15"/>
  <c r="H15"/>
  <c r="L15"/>
  <c r="P15"/>
  <c r="S10"/>
  <c r="AE10"/>
  <c r="G10"/>
  <c r="G15"/>
  <c r="K15"/>
  <c r="O15"/>
  <c r="O10"/>
  <c r="AI10"/>
  <c r="K10"/>
  <c r="AA10"/>
  <c r="F15"/>
  <c r="J15"/>
  <c r="N15"/>
  <c r="R15"/>
  <c r="R15" i="14"/>
  <c r="T15"/>
  <c r="D5"/>
  <c r="D39" s="1"/>
  <c r="M11"/>
  <c r="Y11"/>
  <c r="P10"/>
  <c r="F10"/>
  <c r="D13"/>
  <c r="AD15"/>
  <c r="H11"/>
  <c r="K10"/>
  <c r="S10"/>
  <c r="L10"/>
  <c r="U15"/>
  <c r="K17"/>
  <c r="P11"/>
  <c r="Z15"/>
  <c r="H10"/>
  <c r="T10"/>
  <c r="D14"/>
  <c r="X15"/>
  <c r="AF15"/>
  <c r="J15" i="11"/>
  <c r="N15"/>
  <c r="R15"/>
  <c r="V15"/>
  <c r="H10"/>
  <c r="T10"/>
  <c r="G11"/>
  <c r="X10"/>
  <c r="AF10"/>
  <c r="D30"/>
  <c r="AI11"/>
  <c r="S10"/>
  <c r="H17"/>
  <c r="AF17"/>
  <c r="M11"/>
  <c r="AC11"/>
  <c r="W11"/>
  <c r="G15"/>
  <c r="O15"/>
  <c r="W15"/>
  <c r="K15"/>
  <c r="P10"/>
  <c r="AE10"/>
  <c r="S11"/>
  <c r="X17"/>
  <c r="S15"/>
  <c r="O10"/>
  <c r="H15"/>
  <c r="L15"/>
  <c r="P15"/>
  <c r="T15"/>
  <c r="I15"/>
  <c r="M15"/>
  <c r="Q15"/>
  <c r="U15"/>
  <c r="AA11" i="10"/>
  <c r="R10"/>
  <c r="Z10"/>
  <c r="AH10"/>
  <c r="F10"/>
  <c r="P11"/>
  <c r="T11"/>
  <c r="H15"/>
  <c r="L15"/>
  <c r="P15"/>
  <c r="T15"/>
  <c r="X15"/>
  <c r="AB15"/>
  <c r="AF15"/>
  <c r="N10"/>
  <c r="E10"/>
  <c r="I10"/>
  <c r="U11"/>
  <c r="Y11"/>
  <c r="AC11"/>
  <c r="AG10"/>
  <c r="K10"/>
  <c r="O10"/>
  <c r="S10"/>
  <c r="AA10"/>
  <c r="AE10"/>
  <c r="AI10"/>
  <c r="Y10"/>
  <c r="I11"/>
  <c r="S11"/>
  <c r="AI11"/>
  <c r="F15"/>
  <c r="J15"/>
  <c r="N15"/>
  <c r="R15"/>
  <c r="V15"/>
  <c r="Z15"/>
  <c r="AD15"/>
  <c r="AH15"/>
  <c r="D5"/>
  <c r="D38" s="1"/>
  <c r="AB10"/>
  <c r="AF10"/>
  <c r="J10"/>
  <c r="V10"/>
  <c r="E11"/>
  <c r="AE11"/>
  <c r="D13"/>
  <c r="I15"/>
  <c r="M15"/>
  <c r="Q15"/>
  <c r="U15"/>
  <c r="Y15"/>
  <c r="AC15"/>
  <c r="AG15"/>
  <c r="S17"/>
  <c r="U10"/>
  <c r="M11"/>
  <c r="AI17"/>
  <c r="D8"/>
  <c r="D17" s="1"/>
  <c r="Q10"/>
  <c r="K11"/>
  <c r="D14"/>
  <c r="J10" i="9"/>
  <c r="N10"/>
  <c r="V10"/>
  <c r="AH10"/>
  <c r="F10"/>
  <c r="R10"/>
  <c r="AD10"/>
  <c r="D5"/>
  <c r="D38" s="1"/>
  <c r="Z10"/>
  <c r="F15"/>
  <c r="H10"/>
  <c r="L11"/>
  <c r="X10"/>
  <c r="AB11"/>
  <c r="O10"/>
  <c r="AE10"/>
  <c r="AE11"/>
  <c r="W15"/>
  <c r="AE17"/>
  <c r="AF10"/>
  <c r="P10"/>
  <c r="T11"/>
  <c r="D13"/>
  <c r="G15"/>
  <c r="X15" i="8"/>
  <c r="P10"/>
  <c r="T11"/>
  <c r="X11"/>
  <c r="G15"/>
  <c r="AC15"/>
  <c r="AE11"/>
  <c r="M15"/>
  <c r="H15"/>
  <c r="S15"/>
  <c r="Z11"/>
  <c r="AF11"/>
  <c r="J11"/>
  <c r="AI15"/>
  <c r="K11"/>
  <c r="S11"/>
  <c r="AA11"/>
  <c r="AI11"/>
  <c r="AA17"/>
  <c r="E10"/>
  <c r="I10"/>
  <c r="M10"/>
  <c r="U10"/>
  <c r="Y10"/>
  <c r="AC10"/>
  <c r="AF10"/>
  <c r="O15"/>
  <c r="W15"/>
  <c r="AA15"/>
  <c r="AE15"/>
  <c r="P17"/>
  <c r="L11"/>
  <c r="X10"/>
  <c r="G11"/>
  <c r="K10"/>
  <c r="O11"/>
  <c r="S10"/>
  <c r="W11"/>
  <c r="AA10"/>
  <c r="AI10"/>
  <c r="D8"/>
  <c r="D17" s="1"/>
  <c r="R11"/>
  <c r="D13"/>
  <c r="I15"/>
  <c r="Q15"/>
  <c r="U15"/>
  <c r="Y15"/>
  <c r="AG15"/>
  <c r="D14"/>
  <c r="P15"/>
  <c r="AF15"/>
  <c r="K17"/>
  <c r="AI17"/>
  <c r="P10" i="6"/>
  <c r="T10"/>
  <c r="X10"/>
  <c r="AB10"/>
  <c r="AF10"/>
  <c r="D5"/>
  <c r="D39" s="1"/>
  <c r="Z10"/>
  <c r="H10"/>
  <c r="L10"/>
  <c r="K11"/>
  <c r="S11"/>
  <c r="AA11"/>
  <c r="AI11"/>
  <c r="U15"/>
  <c r="AC15"/>
  <c r="U11"/>
  <c r="R15"/>
  <c r="V15"/>
  <c r="Z15"/>
  <c r="AD15"/>
  <c r="AH15"/>
  <c r="U17"/>
  <c r="AH10"/>
  <c r="G15"/>
  <c r="M17"/>
  <c r="AC11"/>
  <c r="F15"/>
  <c r="R10"/>
  <c r="F10"/>
  <c r="N10"/>
  <c r="V10"/>
  <c r="AD10"/>
  <c r="J10"/>
  <c r="Q15"/>
  <c r="Y15"/>
  <c r="AG15"/>
  <c r="S15"/>
  <c r="W15"/>
  <c r="AA15"/>
  <c r="AE15"/>
  <c r="AH17"/>
  <c r="M11"/>
  <c r="T15"/>
  <c r="X15"/>
  <c r="AB15"/>
  <c r="AF15"/>
  <c r="G10" i="5"/>
  <c r="O10"/>
  <c r="W10"/>
  <c r="AE10"/>
  <c r="AI10"/>
  <c r="O17"/>
  <c r="S10"/>
  <c r="D14"/>
  <c r="G17"/>
  <c r="D13"/>
  <c r="AI15"/>
  <c r="AE17"/>
  <c r="AG15"/>
  <c r="D8"/>
  <c r="K10"/>
  <c r="AA10"/>
  <c r="AF15"/>
  <c r="AB10" i="4"/>
  <c r="L10"/>
  <c r="D15"/>
  <c r="T10"/>
  <c r="P10"/>
  <c r="AF10"/>
  <c r="H10"/>
  <c r="X10"/>
  <c r="C12" i="3"/>
  <c r="C12" i="4" s="1"/>
  <c r="C12" i="5" s="1"/>
  <c r="C12" i="6" s="1"/>
  <c r="C12" i="8" s="1"/>
  <c r="C12" i="9" s="1"/>
  <c r="C12" i="10" s="1"/>
  <c r="C12" i="11" s="1"/>
  <c r="C12" i="14" s="1"/>
  <c r="C12" i="15" s="1"/>
  <c r="H10" i="3"/>
  <c r="AB10"/>
  <c r="J17"/>
  <c r="Z17"/>
  <c r="D5"/>
  <c r="D40" s="1"/>
  <c r="L10"/>
  <c r="X10"/>
  <c r="AH10"/>
  <c r="T10"/>
  <c r="AF10"/>
  <c r="R10"/>
  <c r="C36"/>
  <c r="C36" i="4" s="1"/>
  <c r="C36" i="5" s="1"/>
  <c r="C36" i="6" s="1"/>
  <c r="C36" i="8" s="1"/>
  <c r="C36" i="9" s="1"/>
  <c r="C36" i="10" s="1"/>
  <c r="C36" i="11" s="1"/>
  <c r="C36" i="14" s="1"/>
  <c r="C36" i="15" s="1"/>
  <c r="P10" i="3"/>
  <c r="D15"/>
  <c r="D30"/>
  <c r="D15" i="2"/>
  <c r="C3"/>
  <c r="C3" i="3" s="1"/>
  <c r="C3" i="4" s="1"/>
  <c r="C3" i="5" s="1"/>
  <c r="C3" i="6" s="1"/>
  <c r="C3" i="8" s="1"/>
  <c r="C3" i="9" s="1"/>
  <c r="C3" i="10" s="1"/>
  <c r="C3" i="11" s="1"/>
  <c r="C3" i="14" s="1"/>
  <c r="C3" i="15" s="1"/>
  <c r="C13" i="2"/>
  <c r="C13" i="3" s="1"/>
  <c r="C13" i="4" s="1"/>
  <c r="C7" i="2"/>
  <c r="C7" i="3" s="1"/>
  <c r="C7" i="4" s="1"/>
  <c r="C7" i="5" s="1"/>
  <c r="C7" i="6" s="1"/>
  <c r="C7" i="8" s="1"/>
  <c r="C7" i="9" s="1"/>
  <c r="C7" i="10" s="1"/>
  <c r="C7" i="11" s="1"/>
  <c r="C7" i="14" s="1"/>
  <c r="C7" i="15" s="1"/>
  <c r="C9" i="2"/>
  <c r="C9" i="3" s="1"/>
  <c r="C9" i="4" s="1"/>
  <c r="C9" i="5" s="1"/>
  <c r="C9" i="6" s="1"/>
  <c r="C9" i="8" s="1"/>
  <c r="C9" i="9" s="1"/>
  <c r="C9" i="10" s="1"/>
  <c r="C9" i="11" s="1"/>
  <c r="C9" i="14" s="1"/>
  <c r="C9" i="15" s="1"/>
  <c r="AB17" i="2"/>
  <c r="C14"/>
  <c r="C14" i="3" s="1"/>
  <c r="C37" i="2"/>
  <c r="C37" i="3" s="1"/>
  <c r="C37" i="4" s="1"/>
  <c r="C37" i="5" s="1"/>
  <c r="C37" i="6" s="1"/>
  <c r="C37" i="8" s="1"/>
  <c r="C37" i="9" s="1"/>
  <c r="C37" i="10" s="1"/>
  <c r="C37" i="11" s="1"/>
  <c r="C37" i="14" s="1"/>
  <c r="C37" i="15" s="1"/>
  <c r="L17" i="2"/>
  <c r="C21"/>
  <c r="C21" i="3" s="1"/>
  <c r="C21" i="4" s="1"/>
  <c r="C21" i="5" s="1"/>
  <c r="C21" i="6" s="1"/>
  <c r="C21" i="8" s="1"/>
  <c r="C21" i="9" s="1"/>
  <c r="C21" i="10" s="1"/>
  <c r="C21" i="11" s="1"/>
  <c r="C21" i="14" s="1"/>
  <c r="C21" i="15" s="1"/>
  <c r="C25" i="2"/>
  <c r="C25" i="3" s="1"/>
  <c r="C25" i="4" s="1"/>
  <c r="C25" i="5" s="1"/>
  <c r="C25" i="6" s="1"/>
  <c r="C25" i="8" s="1"/>
  <c r="C25" i="9" s="1"/>
  <c r="C25" i="10" s="1"/>
  <c r="C25" i="11" s="1"/>
  <c r="C25" i="14" s="1"/>
  <c r="C25" i="15" s="1"/>
  <c r="T17" i="2"/>
  <c r="C35"/>
  <c r="C35" i="3" s="1"/>
  <c r="C35" i="4" s="1"/>
  <c r="C35" i="5" s="1"/>
  <c r="C35" i="6" s="1"/>
  <c r="C35" i="8" s="1"/>
  <c r="C35" i="9" s="1"/>
  <c r="C35" i="10" s="1"/>
  <c r="C35" i="11" s="1"/>
  <c r="C35" i="14" s="1"/>
  <c r="C35" i="15" s="1"/>
  <c r="P10" i="2"/>
  <c r="AF10"/>
  <c r="C32"/>
  <c r="C32" i="3" s="1"/>
  <c r="C32" i="4" s="1"/>
  <c r="C32" i="5" s="1"/>
  <c r="C32" i="6" s="1"/>
  <c r="D30" i="2"/>
  <c r="H10"/>
  <c r="X10"/>
  <c r="C4"/>
  <c r="C4" i="3" s="1"/>
  <c r="C4" i="4" s="1"/>
  <c r="C4" i="5" s="1"/>
  <c r="C4" i="6" s="1"/>
  <c r="C4" i="8" s="1"/>
  <c r="C4" i="9" s="1"/>
  <c r="C4" i="10" s="1"/>
  <c r="C4" i="11" s="1"/>
  <c r="C4" i="14" s="1"/>
  <c r="C4" i="15" s="1"/>
  <c r="C6" i="2"/>
  <c r="C6" i="3" s="1"/>
  <c r="C6" i="4" s="1"/>
  <c r="C6" i="5" s="1"/>
  <c r="C6" i="6" s="1"/>
  <c r="C6" i="8" s="1"/>
  <c r="C6" i="9" s="1"/>
  <c r="C6" i="10" s="1"/>
  <c r="C6" i="11" s="1"/>
  <c r="C6" i="14" s="1"/>
  <c r="C6" i="15" s="1"/>
  <c r="C16" i="2"/>
  <c r="C16" i="3" s="1"/>
  <c r="C20" i="2"/>
  <c r="C20" i="3" s="1"/>
  <c r="C20" i="4" s="1"/>
  <c r="C20" i="5" s="1"/>
  <c r="C20" i="6" s="1"/>
  <c r="C20" i="8" s="1"/>
  <c r="C20" i="9" s="1"/>
  <c r="C20" i="10" s="1"/>
  <c r="C20" i="11" s="1"/>
  <c r="C20" i="14" s="1"/>
  <c r="C20" i="15" s="1"/>
  <c r="C24" i="2"/>
  <c r="C24" i="3" s="1"/>
  <c r="C24" i="4" s="1"/>
  <c r="C24" i="5" s="1"/>
  <c r="C24" i="6" s="1"/>
  <c r="C24" i="8" s="1"/>
  <c r="C24" i="9" s="1"/>
  <c r="C24" i="10" s="1"/>
  <c r="C24" i="11" s="1"/>
  <c r="C24" i="14" s="1"/>
  <c r="C24" i="15" s="1"/>
  <c r="C28" i="2"/>
  <c r="C28" i="3" s="1"/>
  <c r="C28" i="4" s="1"/>
  <c r="C28" i="5" s="1"/>
  <c r="C28" i="6" s="1"/>
  <c r="C28" i="8" s="1"/>
  <c r="C28" i="9" s="1"/>
  <c r="C28" i="10" s="1"/>
  <c r="C28" i="11" s="1"/>
  <c r="C28" i="14" s="1"/>
  <c r="C28" i="15" s="1"/>
  <c r="C31" i="2"/>
  <c r="C31" i="3" s="1"/>
  <c r="C31" i="4" s="1"/>
  <c r="C31" i="5" s="1"/>
  <c r="C34" i="2"/>
  <c r="C34" i="3" s="1"/>
  <c r="C34" i="4" s="1"/>
  <c r="C34" i="5" s="1"/>
  <c r="C34" i="6" s="1"/>
  <c r="C34" i="8" s="1"/>
  <c r="C34" i="9" s="1"/>
  <c r="C34" i="10" s="1"/>
  <c r="C34" i="11" s="1"/>
  <c r="C34" i="14" s="1"/>
  <c r="C34" i="15" s="1"/>
  <c r="I10" i="1"/>
  <c r="M10"/>
  <c r="Q10"/>
  <c r="U10"/>
  <c r="Y10"/>
  <c r="AC10"/>
  <c r="AG10"/>
  <c r="R10"/>
  <c r="Z10"/>
  <c r="D5"/>
  <c r="D40" s="1"/>
  <c r="H10"/>
  <c r="AB10"/>
  <c r="P10"/>
  <c r="D15"/>
  <c r="C15" s="1"/>
  <c r="C15" i="2" s="1"/>
  <c r="G10" i="1"/>
  <c r="K10"/>
  <c r="O10"/>
  <c r="S10"/>
  <c r="W10"/>
  <c r="AA10"/>
  <c r="AE10"/>
  <c r="AI10"/>
  <c r="L10"/>
  <c r="X10"/>
  <c r="AH10"/>
  <c r="C33"/>
  <c r="C33" i="2" s="1"/>
  <c r="J10" i="1"/>
  <c r="T10"/>
  <c r="AF10"/>
  <c r="AG10" i="15"/>
  <c r="W10"/>
  <c r="D14"/>
  <c r="D30"/>
  <c r="D17" i="5"/>
  <c r="E10" i="1"/>
  <c r="D8"/>
  <c r="D17" s="1"/>
  <c r="K17"/>
  <c r="S17"/>
  <c r="AA17"/>
  <c r="AI17"/>
  <c r="C22" i="2"/>
  <c r="C22" i="3" s="1"/>
  <c r="C22" i="4" s="1"/>
  <c r="C22" i="5" s="1"/>
  <c r="C22" i="6" s="1"/>
  <c r="C22" i="8" s="1"/>
  <c r="C22" i="9" s="1"/>
  <c r="C22" i="10" s="1"/>
  <c r="C22" i="11" s="1"/>
  <c r="C22" i="14" s="1"/>
  <c r="C22" i="15" s="1"/>
  <c r="C26" i="2"/>
  <c r="C26" i="3" s="1"/>
  <c r="C26" i="4" s="1"/>
  <c r="C26" i="5" s="1"/>
  <c r="C26" i="6" s="1"/>
  <c r="C26" i="8" s="1"/>
  <c r="C26" i="9" s="1"/>
  <c r="C26" i="10" s="1"/>
  <c r="C26" i="11" s="1"/>
  <c r="C26" i="14" s="1"/>
  <c r="C26" i="15" s="1"/>
  <c r="G17" i="2"/>
  <c r="G10"/>
  <c r="K17"/>
  <c r="K10"/>
  <c r="O17"/>
  <c r="O10"/>
  <c r="S17"/>
  <c r="S10"/>
  <c r="W17"/>
  <c r="W10"/>
  <c r="AA17"/>
  <c r="AA10"/>
  <c r="AE17"/>
  <c r="AE10"/>
  <c r="AI17"/>
  <c r="AI10"/>
  <c r="E17" i="3"/>
  <c r="E10"/>
  <c r="D8"/>
  <c r="I17"/>
  <c r="I10"/>
  <c r="M17"/>
  <c r="M10"/>
  <c r="Q17"/>
  <c r="Q10"/>
  <c r="U17"/>
  <c r="U10"/>
  <c r="Y17"/>
  <c r="Y10"/>
  <c r="AC17"/>
  <c r="AC10"/>
  <c r="AG17"/>
  <c r="AG10"/>
  <c r="G17" i="4"/>
  <c r="G10"/>
  <c r="K17"/>
  <c r="K10"/>
  <c r="O17"/>
  <c r="O10"/>
  <c r="S17"/>
  <c r="S10"/>
  <c r="W17"/>
  <c r="W10"/>
  <c r="AA17"/>
  <c r="AA10"/>
  <c r="AE17"/>
  <c r="AE10"/>
  <c r="AI17"/>
  <c r="AI10"/>
  <c r="H17" i="5"/>
  <c r="H10"/>
  <c r="L17"/>
  <c r="L10"/>
  <c r="P17"/>
  <c r="P10"/>
  <c r="T17"/>
  <c r="T10"/>
  <c r="X17"/>
  <c r="X10"/>
  <c r="AB17"/>
  <c r="AB10"/>
  <c r="AF17"/>
  <c r="AF10"/>
  <c r="W15"/>
  <c r="F11" i="6"/>
  <c r="J11"/>
  <c r="R11"/>
  <c r="V11"/>
  <c r="Z11"/>
  <c r="AH11"/>
  <c r="D14"/>
  <c r="G10" i="9"/>
  <c r="G11"/>
  <c r="K10"/>
  <c r="K17"/>
  <c r="K11"/>
  <c r="S10"/>
  <c r="S17"/>
  <c r="S11"/>
  <c r="W10"/>
  <c r="W11"/>
  <c r="AA10"/>
  <c r="AA17"/>
  <c r="AA11"/>
  <c r="AI10"/>
  <c r="AI17"/>
  <c r="AI11"/>
  <c r="U17"/>
  <c r="F10" i="1"/>
  <c r="N10"/>
  <c r="V10"/>
  <c r="AD10"/>
  <c r="E17"/>
  <c r="M17"/>
  <c r="U17"/>
  <c r="AC17"/>
  <c r="C19" i="2"/>
  <c r="C30" i="1"/>
  <c r="D5" i="2"/>
  <c r="J10"/>
  <c r="R10"/>
  <c r="Z10"/>
  <c r="AH10"/>
  <c r="F10" i="3"/>
  <c r="N10"/>
  <c r="V10"/>
  <c r="AD10"/>
  <c r="D5" i="4"/>
  <c r="D39" s="1"/>
  <c r="J10"/>
  <c r="R10"/>
  <c r="Z10"/>
  <c r="AH10"/>
  <c r="C14"/>
  <c r="I10" i="5"/>
  <c r="Q10"/>
  <c r="Y10"/>
  <c r="AG10"/>
  <c r="AH15"/>
  <c r="G10" i="6"/>
  <c r="G17"/>
  <c r="K17"/>
  <c r="K10"/>
  <c r="O17"/>
  <c r="O10"/>
  <c r="S17"/>
  <c r="S10"/>
  <c r="W17"/>
  <c r="W10"/>
  <c r="AA17"/>
  <c r="AA10"/>
  <c r="AE17"/>
  <c r="AE10"/>
  <c r="AI17"/>
  <c r="AI10"/>
  <c r="G11"/>
  <c r="O11"/>
  <c r="W11"/>
  <c r="AE11"/>
  <c r="D13"/>
  <c r="D5" i="8"/>
  <c r="D11" s="1"/>
  <c r="L15"/>
  <c r="T15"/>
  <c r="AB15"/>
  <c r="U10" i="9"/>
  <c r="D30"/>
  <c r="G17" i="1"/>
  <c r="O17"/>
  <c r="W17"/>
  <c r="AE17"/>
  <c r="E17" i="2"/>
  <c r="E10"/>
  <c r="D8"/>
  <c r="I17"/>
  <c r="I10"/>
  <c r="M17"/>
  <c r="M10"/>
  <c r="Q17"/>
  <c r="Q10"/>
  <c r="U17"/>
  <c r="U10"/>
  <c r="Y17"/>
  <c r="Y10"/>
  <c r="AC17"/>
  <c r="AC10"/>
  <c r="AG17"/>
  <c r="AG10"/>
  <c r="G17" i="3"/>
  <c r="G10"/>
  <c r="K17"/>
  <c r="K10"/>
  <c r="O17"/>
  <c r="O10"/>
  <c r="S17"/>
  <c r="S10"/>
  <c r="W17"/>
  <c r="W10"/>
  <c r="AA17"/>
  <c r="AA10"/>
  <c r="AE17"/>
  <c r="AE10"/>
  <c r="AI17"/>
  <c r="AI10"/>
  <c r="E17" i="4"/>
  <c r="E10"/>
  <c r="D8"/>
  <c r="I17"/>
  <c r="I10"/>
  <c r="M17"/>
  <c r="M10"/>
  <c r="Q17"/>
  <c r="Q10"/>
  <c r="U17"/>
  <c r="U10"/>
  <c r="Y17"/>
  <c r="Y10"/>
  <c r="AC17"/>
  <c r="AC10"/>
  <c r="AG17"/>
  <c r="AG10"/>
  <c r="D38"/>
  <c r="F10" i="5"/>
  <c r="F17"/>
  <c r="J10"/>
  <c r="J17"/>
  <c r="N10"/>
  <c r="N17"/>
  <c r="R10"/>
  <c r="R17"/>
  <c r="V10"/>
  <c r="V17"/>
  <c r="Z10"/>
  <c r="Z17"/>
  <c r="AD10"/>
  <c r="AD17"/>
  <c r="AH10"/>
  <c r="AH17"/>
  <c r="D30"/>
  <c r="H11" i="6"/>
  <c r="P11"/>
  <c r="T11"/>
  <c r="X11"/>
  <c r="AF11"/>
  <c r="E11" i="9"/>
  <c r="D8"/>
  <c r="I17"/>
  <c r="I10"/>
  <c r="M11"/>
  <c r="M10"/>
  <c r="Q17"/>
  <c r="Q10"/>
  <c r="Q11"/>
  <c r="Y17"/>
  <c r="Y10"/>
  <c r="AC11"/>
  <c r="AC10"/>
  <c r="AG17"/>
  <c r="AG10"/>
  <c r="AG11"/>
  <c r="E10"/>
  <c r="I11"/>
  <c r="I17" i="1"/>
  <c r="Q17"/>
  <c r="Y17"/>
  <c r="AG17"/>
  <c r="D30"/>
  <c r="F10" i="2"/>
  <c r="N10"/>
  <c r="V10"/>
  <c r="AD10"/>
  <c r="F10" i="4"/>
  <c r="N10"/>
  <c r="V10"/>
  <c r="AD10"/>
  <c r="D30"/>
  <c r="C23"/>
  <c r="C23" i="5" s="1"/>
  <c r="C23" i="6" s="1"/>
  <c r="C23" i="8" s="1"/>
  <c r="C23" i="9" s="1"/>
  <c r="C23" i="10" s="1"/>
  <c r="C23" i="11" s="1"/>
  <c r="C23" i="14" s="1"/>
  <c r="C23" i="15" s="1"/>
  <c r="C27" i="4"/>
  <c r="C27" i="5" s="1"/>
  <c r="C27" i="6" s="1"/>
  <c r="C27" i="8" s="1"/>
  <c r="C27" i="9" s="1"/>
  <c r="C27" i="10" s="1"/>
  <c r="C27" i="11" s="1"/>
  <c r="C27" i="14" s="1"/>
  <c r="C27" i="15" s="1"/>
  <c r="E11" i="5"/>
  <c r="D5"/>
  <c r="D10" s="1"/>
  <c r="E10"/>
  <c r="M10"/>
  <c r="U10"/>
  <c r="AC10"/>
  <c r="E17" i="6"/>
  <c r="E10"/>
  <c r="D8"/>
  <c r="I17"/>
  <c r="I10"/>
  <c r="Q17"/>
  <c r="Q10"/>
  <c r="Y17"/>
  <c r="Y10"/>
  <c r="AG17"/>
  <c r="AG10"/>
  <c r="E15"/>
  <c r="AC17"/>
  <c r="O11" i="9"/>
  <c r="D40"/>
  <c r="E15" i="10"/>
  <c r="D30"/>
  <c r="F11" i="11"/>
  <c r="F10"/>
  <c r="F17"/>
  <c r="J17"/>
  <c r="J11"/>
  <c r="J10"/>
  <c r="N11"/>
  <c r="N17"/>
  <c r="R10"/>
  <c r="R17"/>
  <c r="R11"/>
  <c r="V11"/>
  <c r="V10"/>
  <c r="V17"/>
  <c r="Z17"/>
  <c r="Z11"/>
  <c r="AD10"/>
  <c r="AD17"/>
  <c r="AD11"/>
  <c r="AH10"/>
  <c r="AH17"/>
  <c r="L11" i="6"/>
  <c r="AB11"/>
  <c r="V17"/>
  <c r="D30"/>
  <c r="H11" i="8"/>
  <c r="L17"/>
  <c r="L10"/>
  <c r="P11"/>
  <c r="T17"/>
  <c r="T10"/>
  <c r="AB17"/>
  <c r="AB10"/>
  <c r="H10"/>
  <c r="AB11"/>
  <c r="E15"/>
  <c r="X17"/>
  <c r="AF17"/>
  <c r="C18" i="9"/>
  <c r="C18" i="10" s="1"/>
  <c r="C18" i="11" s="1"/>
  <c r="C18" i="14" s="1"/>
  <c r="C18" i="15" s="1"/>
  <c r="D39" i="9"/>
  <c r="D11" i="10"/>
  <c r="H17"/>
  <c r="H10"/>
  <c r="H11"/>
  <c r="L11"/>
  <c r="L10"/>
  <c r="P17"/>
  <c r="P10"/>
  <c r="T10"/>
  <c r="T17"/>
  <c r="X17"/>
  <c r="X10"/>
  <c r="AB11"/>
  <c r="AF17"/>
  <c r="AF11"/>
  <c r="L17"/>
  <c r="N10" i="11"/>
  <c r="E17" i="14"/>
  <c r="E10"/>
  <c r="D8"/>
  <c r="D17" s="1"/>
  <c r="E11"/>
  <c r="I17"/>
  <c r="I11"/>
  <c r="I10"/>
  <c r="M17"/>
  <c r="M10"/>
  <c r="Q17"/>
  <c r="Q11"/>
  <c r="Q10"/>
  <c r="U17"/>
  <c r="U10"/>
  <c r="U11"/>
  <c r="Y17"/>
  <c r="Y10"/>
  <c r="AC17"/>
  <c r="AC10"/>
  <c r="AC11"/>
  <c r="AG17"/>
  <c r="AG10"/>
  <c r="AG11"/>
  <c r="F10" i="15"/>
  <c r="F17"/>
  <c r="D8"/>
  <c r="F11"/>
  <c r="J10"/>
  <c r="J17"/>
  <c r="J11"/>
  <c r="N10"/>
  <c r="N17"/>
  <c r="N11"/>
  <c r="R10"/>
  <c r="R17"/>
  <c r="R11"/>
  <c r="V10"/>
  <c r="V17"/>
  <c r="V11"/>
  <c r="Z10"/>
  <c r="Z17"/>
  <c r="Z11"/>
  <c r="AD10"/>
  <c r="AD17"/>
  <c r="AH10"/>
  <c r="AH17"/>
  <c r="AH11"/>
  <c r="D30" i="14"/>
  <c r="N11" i="6"/>
  <c r="AD11"/>
  <c r="F17" i="8"/>
  <c r="F10"/>
  <c r="F11"/>
  <c r="J17"/>
  <c r="J10"/>
  <c r="N17"/>
  <c r="N10"/>
  <c r="N11"/>
  <c r="R17"/>
  <c r="R10"/>
  <c r="V17"/>
  <c r="V10"/>
  <c r="V11"/>
  <c r="Z17"/>
  <c r="Z10"/>
  <c r="AD17"/>
  <c r="AD10"/>
  <c r="AD11"/>
  <c r="AH17"/>
  <c r="AH10"/>
  <c r="AH11"/>
  <c r="D14" i="9"/>
  <c r="E15"/>
  <c r="D17"/>
  <c r="X11" i="10"/>
  <c r="Z10" i="11"/>
  <c r="AH11"/>
  <c r="O10" i="8"/>
  <c r="AE10"/>
  <c r="D30"/>
  <c r="L10" i="9"/>
  <c r="AB10"/>
  <c r="P11"/>
  <c r="AF11"/>
  <c r="K17" i="10"/>
  <c r="AE17"/>
  <c r="E10" i="11"/>
  <c r="E17"/>
  <c r="D8"/>
  <c r="E11"/>
  <c r="I10"/>
  <c r="I17"/>
  <c r="M10"/>
  <c r="M17"/>
  <c r="Q10"/>
  <c r="Q17"/>
  <c r="Q11"/>
  <c r="U10"/>
  <c r="U17"/>
  <c r="U11"/>
  <c r="Y10"/>
  <c r="Y17"/>
  <c r="Y11"/>
  <c r="AC10"/>
  <c r="AC17"/>
  <c r="AG10"/>
  <c r="AG17"/>
  <c r="AG11"/>
  <c r="AI10"/>
  <c r="F15"/>
  <c r="D13"/>
  <c r="E11" i="8"/>
  <c r="I11"/>
  <c r="M11"/>
  <c r="Q11"/>
  <c r="U11"/>
  <c r="Y11"/>
  <c r="AC11"/>
  <c r="AG11"/>
  <c r="G10"/>
  <c r="Q10"/>
  <c r="W10"/>
  <c r="AG10"/>
  <c r="F15"/>
  <c r="N15"/>
  <c r="R15"/>
  <c r="V15"/>
  <c r="Z15"/>
  <c r="AD15"/>
  <c r="AH15"/>
  <c r="Q17"/>
  <c r="AG17"/>
  <c r="F11" i="9"/>
  <c r="J11"/>
  <c r="N11"/>
  <c r="R11"/>
  <c r="V11"/>
  <c r="Z11"/>
  <c r="AD11"/>
  <c r="AH11"/>
  <c r="T10"/>
  <c r="H11"/>
  <c r="X11"/>
  <c r="G10" i="10"/>
  <c r="G11"/>
  <c r="W10"/>
  <c r="W11"/>
  <c r="O11"/>
  <c r="O17"/>
  <c r="AA17"/>
  <c r="I11" i="11"/>
  <c r="D14"/>
  <c r="E15"/>
  <c r="M10" i="10"/>
  <c r="AC10"/>
  <c r="Q11"/>
  <c r="AG11"/>
  <c r="D5" i="11"/>
  <c r="K10"/>
  <c r="AA10"/>
  <c r="O11"/>
  <c r="AE11"/>
  <c r="G11" i="14"/>
  <c r="G10"/>
  <c r="O10"/>
  <c r="O11"/>
  <c r="W11"/>
  <c r="W10"/>
  <c r="AA10"/>
  <c r="AA11"/>
  <c r="AE11"/>
  <c r="AE10"/>
  <c r="AI10"/>
  <c r="AI11"/>
  <c r="S11"/>
  <c r="S15"/>
  <c r="S17"/>
  <c r="AI17"/>
  <c r="D38"/>
  <c r="F11" i="10"/>
  <c r="J11"/>
  <c r="N11"/>
  <c r="R11"/>
  <c r="V11"/>
  <c r="Z11"/>
  <c r="AD11"/>
  <c r="AH11"/>
  <c r="H11" i="11"/>
  <c r="L11"/>
  <c r="P11"/>
  <c r="T11"/>
  <c r="X11"/>
  <c r="AB11"/>
  <c r="AF11"/>
  <c r="G10"/>
  <c r="L10"/>
  <c r="W10"/>
  <c r="K11"/>
  <c r="AA11"/>
  <c r="L17"/>
  <c r="T17"/>
  <c r="K11" i="14"/>
  <c r="AB15"/>
  <c r="G17"/>
  <c r="W17"/>
  <c r="H10" i="15"/>
  <c r="H11"/>
  <c r="L10"/>
  <c r="L11"/>
  <c r="P10"/>
  <c r="P11"/>
  <c r="T10"/>
  <c r="T11"/>
  <c r="X10"/>
  <c r="X11"/>
  <c r="AB10"/>
  <c r="AB11"/>
  <c r="AF10"/>
  <c r="AF11"/>
  <c r="D13"/>
  <c r="T17"/>
  <c r="X17" i="14"/>
  <c r="X11"/>
  <c r="AB17"/>
  <c r="AB11"/>
  <c r="AF17"/>
  <c r="AF11"/>
  <c r="T11"/>
  <c r="F11"/>
  <c r="F17"/>
  <c r="J11"/>
  <c r="J17"/>
  <c r="N11"/>
  <c r="N17"/>
  <c r="R11"/>
  <c r="R17"/>
  <c r="V11"/>
  <c r="V17"/>
  <c r="Z11"/>
  <c r="Z17"/>
  <c r="AD11"/>
  <c r="AD17"/>
  <c r="AH11"/>
  <c r="AH17"/>
  <c r="L11"/>
  <c r="D5" i="15"/>
  <c r="D40" s="1"/>
  <c r="E10"/>
  <c r="G11"/>
  <c r="K11"/>
  <c r="O11"/>
  <c r="S11"/>
  <c r="W11"/>
  <c r="AA11"/>
  <c r="AE11"/>
  <c r="AI11"/>
  <c r="E11"/>
  <c r="I11"/>
  <c r="M11"/>
  <c r="Q11"/>
  <c r="U11"/>
  <c r="Y11"/>
  <c r="AC11"/>
  <c r="AG11"/>
  <c r="D15" l="1"/>
  <c r="D40" i="14"/>
  <c r="D15"/>
  <c r="D15" i="11"/>
  <c r="D39" i="10"/>
  <c r="D15"/>
  <c r="D40"/>
  <c r="D10"/>
  <c r="D15" i="9"/>
  <c r="D10" i="8"/>
  <c r="D38" i="6"/>
  <c r="D40"/>
  <c r="D15"/>
  <c r="C13" i="5"/>
  <c r="C14"/>
  <c r="D15"/>
  <c r="D11"/>
  <c r="D40" i="4"/>
  <c r="C15" i="3"/>
  <c r="C15" i="4" s="1"/>
  <c r="C15" i="5" s="1"/>
  <c r="D39" i="3"/>
  <c r="D38"/>
  <c r="D39" i="1"/>
  <c r="C5"/>
  <c r="D38"/>
  <c r="C31" i="6"/>
  <c r="D38" i="15"/>
  <c r="C32" i="8"/>
  <c r="D11" i="14"/>
  <c r="D10"/>
  <c r="D11" i="2"/>
  <c r="D17"/>
  <c r="D10"/>
  <c r="D39" i="15"/>
  <c r="D40" i="5"/>
  <c r="C33" i="3"/>
  <c r="D10" i="9"/>
  <c r="D11"/>
  <c r="D38" i="8"/>
  <c r="D39" i="11"/>
  <c r="D38"/>
  <c r="D40"/>
  <c r="D11"/>
  <c r="D10"/>
  <c r="D11" i="3"/>
  <c r="D17"/>
  <c r="D10"/>
  <c r="D10" i="15"/>
  <c r="D11"/>
  <c r="D17"/>
  <c r="D15" i="8"/>
  <c r="C13" i="6"/>
  <c r="C13" i="8" s="1"/>
  <c r="C13" i="9" s="1"/>
  <c r="C13" i="10" s="1"/>
  <c r="C13" i="11" s="1"/>
  <c r="C13" i="14" s="1"/>
  <c r="C13" i="15" s="1"/>
  <c r="D17" i="11"/>
  <c r="D11" i="6"/>
  <c r="D10"/>
  <c r="D17"/>
  <c r="D39" i="5"/>
  <c r="D11" i="4"/>
  <c r="D17"/>
  <c r="D10"/>
  <c r="D39" i="8"/>
  <c r="D38" i="5"/>
  <c r="C16" i="4"/>
  <c r="D39" i="2"/>
  <c r="D38"/>
  <c r="D40"/>
  <c r="C30"/>
  <c r="C19" i="3"/>
  <c r="D40" i="8"/>
  <c r="C14" i="6"/>
  <c r="C14" i="8" s="1"/>
  <c r="C14" i="9" s="1"/>
  <c r="C14" i="10" s="1"/>
  <c r="C14" i="11" s="1"/>
  <c r="C14" i="14" s="1"/>
  <c r="C14" i="15" s="1"/>
  <c r="D11" i="1"/>
  <c r="C8"/>
  <c r="D10"/>
  <c r="C15" i="6" l="1"/>
  <c r="C15" i="8" s="1"/>
  <c r="C15" i="9" s="1"/>
  <c r="C15" i="10" s="1"/>
  <c r="C15" i="11" s="1"/>
  <c r="C15" i="14" s="1"/>
  <c r="C15" i="15" s="1"/>
  <c r="C40" i="1"/>
  <c r="C5" i="2"/>
  <c r="C39" i="1"/>
  <c r="C38"/>
  <c r="C33" i="4"/>
  <c r="C16" i="5"/>
  <c r="C10" i="1"/>
  <c r="C8" i="2"/>
  <c r="C11" i="1"/>
  <c r="C17"/>
  <c r="C31" i="8"/>
  <c r="C30" i="3"/>
  <c r="C30" i="4" s="1"/>
  <c r="C30" i="5" s="1"/>
  <c r="C30" i="6" s="1"/>
  <c r="C30" i="8" s="1"/>
  <c r="C30" i="9" s="1"/>
  <c r="C30" i="10" s="1"/>
  <c r="C30" i="11" s="1"/>
  <c r="C30" i="14" s="1"/>
  <c r="C30" i="15" s="1"/>
  <c r="C19" i="4"/>
  <c r="C19" i="5" s="1"/>
  <c r="C19" i="6" s="1"/>
  <c r="C19" i="8" s="1"/>
  <c r="C19" i="9" s="1"/>
  <c r="C19" i="10" s="1"/>
  <c r="C19" i="11" s="1"/>
  <c r="C19" i="14" s="1"/>
  <c r="C19" i="15" s="1"/>
  <c r="C32" i="9"/>
  <c r="C5" i="3" l="1"/>
  <c r="C39" i="2"/>
  <c r="C38"/>
  <c r="C40"/>
  <c r="C32" i="10"/>
  <c r="C10" i="2"/>
  <c r="C8" i="3"/>
  <c r="C11" i="2"/>
  <c r="C17"/>
  <c r="C33" i="5"/>
  <c r="C31" i="9"/>
  <c r="C16" i="6"/>
  <c r="C39" i="3" l="1"/>
  <c r="C38"/>
  <c r="C5" i="4"/>
  <c r="C40" i="3"/>
  <c r="C10"/>
  <c r="C11"/>
  <c r="C17"/>
  <c r="C8" i="4"/>
  <c r="C32" i="11"/>
  <c r="C33" i="6"/>
  <c r="C16" i="8"/>
  <c r="C31" i="10"/>
  <c r="C38" i="4" l="1"/>
  <c r="C39"/>
  <c r="C5" i="5"/>
  <c r="C40" i="4"/>
  <c r="C32" i="14"/>
  <c r="C33" i="8"/>
  <c r="C10" i="4"/>
  <c r="C11"/>
  <c r="C8" i="5"/>
  <c r="C17" i="4"/>
  <c r="C31" i="11"/>
  <c r="C16" i="9"/>
  <c r="C39" i="5" l="1"/>
  <c r="C38"/>
  <c r="C5" i="6"/>
  <c r="C40" i="5"/>
  <c r="C16" i="10"/>
  <c r="C32" i="15"/>
  <c r="C33" i="9"/>
  <c r="C11" i="5"/>
  <c r="C10"/>
  <c r="C8" i="6"/>
  <c r="C17" i="5"/>
  <c r="C31" i="14"/>
  <c r="C38" i="6" l="1"/>
  <c r="C39"/>
  <c r="C5" i="8"/>
  <c r="C40" i="6"/>
  <c r="C33" i="10"/>
  <c r="C31" i="15"/>
  <c r="C10" i="6"/>
  <c r="C11"/>
  <c r="C8" i="8"/>
  <c r="C17" i="6"/>
  <c r="C16" i="11"/>
  <c r="C39" i="8" l="1"/>
  <c r="C5" i="9"/>
  <c r="C38" i="8"/>
  <c r="C40"/>
  <c r="C11"/>
  <c r="C10"/>
  <c r="C8" i="9"/>
  <c r="C17" i="8"/>
  <c r="C16" i="14"/>
  <c r="C33" i="11"/>
  <c r="C38" i="9" l="1"/>
  <c r="C39"/>
  <c r="C5" i="10"/>
  <c r="C40" i="9"/>
  <c r="C33" i="14"/>
  <c r="C16" i="15"/>
  <c r="C10" i="9"/>
  <c r="C11"/>
  <c r="C8" i="10"/>
  <c r="C17" i="9"/>
  <c r="C38" i="10" l="1"/>
  <c r="C39"/>
  <c r="C5" i="11"/>
  <c r="C40" i="10"/>
  <c r="C10"/>
  <c r="C11"/>
  <c r="C8" i="11"/>
  <c r="C17" i="10"/>
  <c r="C33" i="15"/>
  <c r="C38" i="11" l="1"/>
  <c r="C39"/>
  <c r="C5" i="14"/>
  <c r="C40" i="11"/>
  <c r="C11"/>
  <c r="C10"/>
  <c r="C8" i="14"/>
  <c r="C17" i="11"/>
  <c r="C5" i="15" l="1"/>
  <c r="C38" i="14"/>
  <c r="C39"/>
  <c r="C40"/>
  <c r="C10"/>
  <c r="C11"/>
  <c r="C8" i="15"/>
  <c r="C17" i="14"/>
  <c r="C39" i="15" l="1"/>
  <c r="C38"/>
  <c r="C40"/>
  <c r="C11"/>
  <c r="C10"/>
  <c r="C17"/>
</calcChain>
</file>

<file path=xl/sharedStrings.xml><?xml version="1.0" encoding="utf-8"?>
<sst xmlns="http://schemas.openxmlformats.org/spreadsheetml/2006/main" count="960" uniqueCount="76">
  <si>
    <t xml:space="preserve">                                                          中山市天乙能源有限公司生产日报表</t>
  </si>
  <si>
    <t>项目</t>
  </si>
  <si>
    <t>年累计</t>
  </si>
  <si>
    <t>月累计</t>
  </si>
  <si>
    <t>1日</t>
  </si>
  <si>
    <t>2日</t>
  </si>
  <si>
    <t>3日</t>
  </si>
  <si>
    <t>4日</t>
  </si>
  <si>
    <t>5日</t>
  </si>
  <si>
    <t>6日</t>
  </si>
  <si>
    <t>7日</t>
  </si>
  <si>
    <t>8日</t>
  </si>
  <si>
    <t>9日</t>
  </si>
  <si>
    <t>10日</t>
  </si>
  <si>
    <t>11日</t>
  </si>
  <si>
    <t>12日</t>
  </si>
  <si>
    <t>13日</t>
  </si>
  <si>
    <t>14日</t>
  </si>
  <si>
    <t>15日</t>
  </si>
  <si>
    <t>16日</t>
  </si>
  <si>
    <t>17日</t>
  </si>
  <si>
    <t>18日</t>
  </si>
  <si>
    <t>19日</t>
  </si>
  <si>
    <t>20日</t>
  </si>
  <si>
    <t>21日</t>
  </si>
  <si>
    <t>22日</t>
  </si>
  <si>
    <t>23日</t>
  </si>
  <si>
    <t>24日</t>
  </si>
  <si>
    <t>25日</t>
  </si>
  <si>
    <t>26日</t>
  </si>
  <si>
    <t>27日</t>
  </si>
  <si>
    <t>28日</t>
  </si>
  <si>
    <t>29日</t>
  </si>
  <si>
    <t>30日</t>
  </si>
  <si>
    <t>31日</t>
  </si>
  <si>
    <t>垃圾处
理量
（吨）</t>
  </si>
  <si>
    <t>#1炉</t>
  </si>
  <si>
    <t>#2炉</t>
  </si>
  <si>
    <t>全厂</t>
  </si>
  <si>
    <t>发电
量（度）</t>
  </si>
  <si>
    <t>#1机</t>
  </si>
  <si>
    <t>#2机</t>
  </si>
  <si>
    <t>供电量（度）</t>
  </si>
  <si>
    <t>吨垃圾发电量(度/吨)</t>
  </si>
  <si>
    <t>吨垃圾上网电量(度/吨)</t>
  </si>
  <si>
    <t>进场垃圾量（吨）</t>
  </si>
  <si>
    <t>主蒸汽流量（t/d）</t>
  </si>
  <si>
    <t>全厂用电量（度）</t>
  </si>
  <si>
    <t>综合厂用电率（%）</t>
  </si>
  <si>
    <t>本日库存</t>
  </si>
  <si>
    <t>垃圾进
厂量</t>
  </si>
  <si>
    <t>中山小榄</t>
  </si>
  <si>
    <t>中山东升</t>
  </si>
  <si>
    <t>中山东凤</t>
  </si>
  <si>
    <t>中山三角</t>
  </si>
  <si>
    <t>中山黄圃</t>
  </si>
  <si>
    <t>中山南头</t>
  </si>
  <si>
    <t>中山古镇</t>
  </si>
  <si>
    <t>中山阜沙</t>
  </si>
  <si>
    <t>中山港口</t>
  </si>
  <si>
    <t>中山沙溪</t>
  </si>
  <si>
    <t>合计</t>
  </si>
  <si>
    <t>废弃物</t>
  </si>
  <si>
    <t>炉渣（吨）</t>
  </si>
  <si>
    <t>飞灰（吨）</t>
  </si>
  <si>
    <t>渗滤液外排量（吨）</t>
  </si>
  <si>
    <t>渗滤液处理量</t>
  </si>
  <si>
    <t>耗材处理（吨)</t>
  </si>
  <si>
    <t>氨水</t>
  </si>
  <si>
    <t>石灰</t>
  </si>
  <si>
    <t>活性炭</t>
  </si>
  <si>
    <t>炉渣产生比率</t>
  </si>
  <si>
    <t>飞灰产生比率</t>
  </si>
  <si>
    <t>渗滤液产生比率</t>
  </si>
  <si>
    <t>中山阜沙1</t>
    <phoneticPr fontId="12" type="noConversion"/>
  </si>
  <si>
    <t>中山小榄（东升）</t>
    <phoneticPr fontId="12" type="noConversion"/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</si>
</sst>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176" formatCode="0.000"/>
    <numFmt numFmtId="177" formatCode="0.00_ "/>
    <numFmt numFmtId="178" formatCode="#,##0_);[Red]\(#,##0\)"/>
    <numFmt numFmtId="179" formatCode="0.000_ "/>
  </numFmts>
  <fonts count="13">
    <font>
      <sz val="11"/>
      <color theme="1"/>
      <name val="宋体"/>
      <charset val="134"/>
      <scheme val="minor"/>
    </font>
    <font>
      <sz val="9"/>
      <color indexed="8"/>
      <name val="宋体"/>
      <family val="3"/>
      <charset val="134"/>
    </font>
    <font>
      <b/>
      <sz val="10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b/>
      <sz val="14"/>
      <color indexed="8"/>
      <name val="宋体"/>
      <family val="3"/>
      <charset val="134"/>
    </font>
    <font>
      <sz val="10"/>
      <name val="宋体"/>
      <family val="3"/>
      <charset val="134"/>
    </font>
    <font>
      <sz val="9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1"/>
      <name val="宋体"/>
      <family val="3"/>
      <charset val="134"/>
    </font>
    <font>
      <sz val="10"/>
      <color rgb="FFFF000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5">
    <xf numFmtId="0" fontId="0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0" fontId="10" fillId="0" borderId="0"/>
    <xf numFmtId="0" fontId="11" fillId="0" borderId="0"/>
    <xf numFmtId="0" fontId="11" fillId="0" borderId="0">
      <alignment vertical="center"/>
    </xf>
  </cellStyleXfs>
  <cellXfs count="64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0" fillId="0" borderId="0" xfId="0" applyFont="1" applyFill="1" applyAlignment="1">
      <alignment vertical="center"/>
    </xf>
    <xf numFmtId="0" fontId="2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177" fontId="3" fillId="0" borderId="2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/>
    </xf>
    <xf numFmtId="10" fontId="3" fillId="0" borderId="2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/>
    </xf>
    <xf numFmtId="178" fontId="5" fillId="0" borderId="2" xfId="1" applyNumberFormat="1" applyFont="1" applyFill="1" applyBorder="1" applyAlignment="1">
      <alignment horizontal="center" vertical="center" wrapText="1"/>
    </xf>
    <xf numFmtId="0" fontId="5" fillId="0" borderId="2" xfId="3" applyFont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/>
    </xf>
    <xf numFmtId="2" fontId="3" fillId="0" borderId="2" xfId="0" applyNumberFormat="1" applyFont="1" applyFill="1" applyBorder="1" applyAlignment="1">
      <alignment horizontal="center" vertical="center"/>
    </xf>
    <xf numFmtId="2" fontId="5" fillId="0" borderId="6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6" fillId="0" borderId="7" xfId="0" applyNumberFormat="1" applyFont="1" applyFill="1" applyBorder="1" applyAlignment="1">
      <alignment horizontal="center" vertical="center"/>
    </xf>
    <xf numFmtId="10" fontId="6" fillId="0" borderId="7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3" fillId="0" borderId="2" xfId="0" applyNumberFormat="1" applyFont="1" applyFill="1" applyBorder="1" applyAlignment="1" applyProtection="1">
      <alignment horizontal="center" vertical="center"/>
    </xf>
    <xf numFmtId="2" fontId="7" fillId="0" borderId="2" xfId="0" applyNumberFormat="1" applyFont="1" applyFill="1" applyBorder="1" applyAlignment="1">
      <alignment horizontal="center" vertical="center"/>
    </xf>
    <xf numFmtId="0" fontId="5" fillId="0" borderId="2" xfId="3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3" fillId="0" borderId="2" xfId="4" applyNumberFormat="1" applyFont="1" applyFill="1" applyBorder="1" applyAlignment="1" applyProtection="1">
      <alignment horizontal="center" vertical="center"/>
    </xf>
    <xf numFmtId="176" fontId="7" fillId="0" borderId="2" xfId="0" applyNumberFormat="1" applyFont="1" applyFill="1" applyBorder="1" applyAlignment="1">
      <alignment horizontal="center" vertical="justify"/>
    </xf>
    <xf numFmtId="176" fontId="7" fillId="0" borderId="2" xfId="0" applyNumberFormat="1" applyFont="1" applyFill="1" applyBorder="1" applyAlignment="1" applyProtection="1">
      <alignment horizontal="center" vertical="justify"/>
      <protection locked="0"/>
    </xf>
    <xf numFmtId="176" fontId="7" fillId="0" borderId="2" xfId="0" applyNumberFormat="1" applyFont="1" applyBorder="1" applyAlignment="1" applyProtection="1">
      <alignment horizontal="center" vertical="justify"/>
      <protection locked="0"/>
    </xf>
    <xf numFmtId="176" fontId="8" fillId="0" borderId="0" xfId="0" applyNumberFormat="1" applyFont="1" applyAlignment="1">
      <alignment horizontal="center" vertical="center"/>
    </xf>
    <xf numFmtId="176" fontId="8" fillId="0" borderId="2" xfId="0" applyNumberFormat="1" applyFont="1" applyFill="1" applyBorder="1" applyAlignment="1">
      <alignment horizontal="center" vertical="justify"/>
    </xf>
    <xf numFmtId="176" fontId="3" fillId="0" borderId="2" xfId="0" applyNumberFormat="1" applyFont="1" applyFill="1" applyBorder="1" applyAlignment="1">
      <alignment horizontal="center" vertical="justify"/>
    </xf>
    <xf numFmtId="176" fontId="3" fillId="0" borderId="2" xfId="0" applyNumberFormat="1" applyFont="1" applyFill="1" applyBorder="1" applyAlignment="1" applyProtection="1">
      <alignment horizontal="center" vertical="justify"/>
      <protection locked="0"/>
    </xf>
    <xf numFmtId="176" fontId="5" fillId="0" borderId="0" xfId="0" applyNumberFormat="1" applyFont="1" applyAlignment="1">
      <alignment horizontal="center" vertical="center"/>
    </xf>
    <xf numFmtId="176" fontId="5" fillId="0" borderId="2" xfId="0" applyNumberFormat="1" applyFont="1" applyFill="1" applyBorder="1" applyAlignment="1">
      <alignment horizontal="center" vertical="justify"/>
    </xf>
    <xf numFmtId="179" fontId="3" fillId="0" borderId="2" xfId="0" applyNumberFormat="1" applyFont="1" applyFill="1" applyBorder="1" applyAlignment="1">
      <alignment horizontal="center" vertical="justify"/>
    </xf>
    <xf numFmtId="179" fontId="3" fillId="0" borderId="2" xfId="0" applyNumberFormat="1" applyFont="1" applyFill="1" applyBorder="1" applyAlignment="1" applyProtection="1">
      <alignment horizontal="center" vertical="justify"/>
      <protection locked="0"/>
    </xf>
    <xf numFmtId="179" fontId="3" fillId="0" borderId="2" xfId="0" applyNumberFormat="1" applyFont="1" applyBorder="1" applyAlignment="1" applyProtection="1">
      <alignment horizontal="center" vertical="justify"/>
      <protection locked="0"/>
    </xf>
    <xf numFmtId="179" fontId="5" fillId="0" borderId="0" xfId="0" applyNumberFormat="1" applyFont="1" applyAlignment="1">
      <alignment horizontal="center" vertical="center"/>
    </xf>
    <xf numFmtId="179" fontId="5" fillId="0" borderId="2" xfId="0" applyNumberFormat="1" applyFont="1" applyFill="1" applyBorder="1" applyAlignment="1">
      <alignment horizontal="center" vertical="justify"/>
    </xf>
    <xf numFmtId="177" fontId="9" fillId="0" borderId="2" xfId="0" applyNumberFormat="1" applyFont="1" applyFill="1" applyBorder="1" applyAlignment="1">
      <alignment horizontal="center" vertical="center"/>
    </xf>
    <xf numFmtId="179" fontId="7" fillId="0" borderId="2" xfId="0" applyNumberFormat="1" applyFont="1" applyFill="1" applyBorder="1" applyAlignment="1">
      <alignment horizontal="center" vertical="justify"/>
    </xf>
    <xf numFmtId="179" fontId="7" fillId="0" borderId="2" xfId="0" applyNumberFormat="1" applyFont="1" applyFill="1" applyBorder="1" applyAlignment="1" applyProtection="1">
      <alignment horizontal="center" vertical="justify"/>
      <protection locked="0"/>
    </xf>
    <xf numFmtId="179" fontId="7" fillId="0" borderId="2" xfId="0" applyNumberFormat="1" applyFont="1" applyBorder="1" applyAlignment="1" applyProtection="1">
      <alignment horizontal="center" vertical="justify"/>
      <protection locked="0"/>
    </xf>
    <xf numFmtId="179" fontId="8" fillId="0" borderId="0" xfId="0" applyNumberFormat="1" applyFont="1" applyAlignment="1">
      <alignment horizontal="center" vertical="center"/>
    </xf>
    <xf numFmtId="179" fontId="8" fillId="0" borderId="2" xfId="0" applyNumberFormat="1" applyFont="1" applyFill="1" applyBorder="1" applyAlignment="1">
      <alignment horizontal="center" vertical="justify"/>
    </xf>
    <xf numFmtId="0" fontId="8" fillId="0" borderId="0" xfId="0" applyFont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57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center" vertical="center" wrapText="1"/>
    </xf>
  </cellXfs>
  <cellStyles count="5">
    <cellStyle name="常规" xfId="0" builtinId="0"/>
    <cellStyle name="常规 2" xfId="2"/>
    <cellStyle name="常规_垃圾进场量7月份（内部）_12月份" xfId="3"/>
    <cellStyle name="常规_天乙生产日报表2011.11月" xfId="4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I63"/>
  <sheetViews>
    <sheetView workbookViewId="0">
      <pane xSplit="4" topLeftCell="E1" activePane="topRight" state="frozen"/>
      <selection pane="topRight" activeCell="G42" sqref="G42"/>
    </sheetView>
  </sheetViews>
  <sheetFormatPr defaultColWidth="9" defaultRowHeight="13.5"/>
  <cols>
    <col min="1" max="1" width="8.75" style="4" customWidth="1"/>
    <col min="2" max="2" width="13.625" style="4" customWidth="1"/>
    <col min="3" max="3" width="10.625" style="4" customWidth="1"/>
    <col min="4" max="4" width="10.5" style="4" customWidth="1"/>
    <col min="5" max="12" width="9" style="4"/>
    <col min="13" max="13" width="10.875" style="4" customWidth="1"/>
    <col min="14" max="32" width="9" style="4"/>
    <col min="33" max="33" width="9" style="4" customWidth="1"/>
    <col min="34" max="34" width="8.375" style="4" customWidth="1"/>
    <col min="35" max="35" width="9" style="4" customWidth="1"/>
    <col min="36" max="16384" width="9" style="4"/>
  </cols>
  <sheetData>
    <row r="1" spans="1:35" s="1" customFormat="1" ht="42.75" customHeight="1">
      <c r="A1" s="53">
        <v>44197</v>
      </c>
      <c r="B1" s="54"/>
      <c r="C1" s="55" t="s">
        <v>0</v>
      </c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55"/>
      <c r="X1" s="55"/>
      <c r="Y1" s="55"/>
      <c r="Z1" s="55"/>
      <c r="AA1" s="55"/>
      <c r="AB1" s="55"/>
      <c r="AC1" s="55"/>
      <c r="AD1" s="55"/>
      <c r="AE1" s="55"/>
      <c r="AF1" s="55"/>
      <c r="AG1" s="55"/>
      <c r="AH1" s="55"/>
      <c r="AI1" s="55"/>
    </row>
    <row r="2" spans="1:35" s="2" customFormat="1" ht="24.95" customHeight="1">
      <c r="A2" s="5"/>
      <c r="B2" s="5" t="s">
        <v>1</v>
      </c>
      <c r="C2" s="5" t="s">
        <v>2</v>
      </c>
      <c r="D2" s="5" t="s">
        <v>3</v>
      </c>
      <c r="E2" s="5" t="s">
        <v>4</v>
      </c>
      <c r="F2" s="5" t="s">
        <v>5</v>
      </c>
      <c r="G2" s="5" t="s">
        <v>6</v>
      </c>
      <c r="H2" s="5" t="s">
        <v>7</v>
      </c>
      <c r="I2" s="5" t="s">
        <v>8</v>
      </c>
      <c r="J2" s="5" t="s">
        <v>9</v>
      </c>
      <c r="K2" s="5" t="s">
        <v>10</v>
      </c>
      <c r="L2" s="5" t="s">
        <v>11</v>
      </c>
      <c r="M2" s="5" t="s">
        <v>12</v>
      </c>
      <c r="N2" s="5" t="s">
        <v>13</v>
      </c>
      <c r="O2" s="5" t="s">
        <v>14</v>
      </c>
      <c r="P2" s="5" t="s">
        <v>15</v>
      </c>
      <c r="Q2" s="5" t="s">
        <v>16</v>
      </c>
      <c r="R2" s="5" t="s">
        <v>17</v>
      </c>
      <c r="S2" s="5" t="s">
        <v>18</v>
      </c>
      <c r="T2" s="5" t="s">
        <v>19</v>
      </c>
      <c r="U2" s="5" t="s">
        <v>20</v>
      </c>
      <c r="V2" s="5" t="s">
        <v>21</v>
      </c>
      <c r="W2" s="5" t="s">
        <v>22</v>
      </c>
      <c r="X2" s="5" t="s">
        <v>23</v>
      </c>
      <c r="Y2" s="5" t="s">
        <v>24</v>
      </c>
      <c r="Z2" s="5" t="s">
        <v>25</v>
      </c>
      <c r="AA2" s="5" t="s">
        <v>26</v>
      </c>
      <c r="AB2" s="5" t="s">
        <v>27</v>
      </c>
      <c r="AC2" s="5" t="s">
        <v>28</v>
      </c>
      <c r="AD2" s="5" t="s">
        <v>29</v>
      </c>
      <c r="AE2" s="5" t="s">
        <v>30</v>
      </c>
      <c r="AF2" s="5" t="s">
        <v>31</v>
      </c>
      <c r="AG2" s="5" t="s">
        <v>32</v>
      </c>
      <c r="AH2" s="5" t="s">
        <v>33</v>
      </c>
      <c r="AI2" s="5" t="s">
        <v>34</v>
      </c>
    </row>
    <row r="3" spans="1:35" s="3" customFormat="1" ht="25.5" customHeight="1">
      <c r="A3" s="56" t="s">
        <v>35</v>
      </c>
      <c r="B3" s="7" t="s">
        <v>36</v>
      </c>
      <c r="C3" s="7">
        <f>D3+0</f>
        <v>11791.5</v>
      </c>
      <c r="D3" s="7">
        <f t="shared" ref="D3:D9" si="0">SUM(E3:AI3)</f>
        <v>11791.5</v>
      </c>
      <c r="E3" s="7">
        <v>391.5</v>
      </c>
      <c r="F3" s="7">
        <v>399.6</v>
      </c>
      <c r="G3" s="7">
        <v>389.5</v>
      </c>
      <c r="H3" s="7">
        <v>370</v>
      </c>
      <c r="I3" s="7">
        <v>378.2</v>
      </c>
      <c r="J3" s="7">
        <v>395.8</v>
      </c>
      <c r="K3" s="7">
        <v>385.4</v>
      </c>
      <c r="L3" s="7">
        <v>382.7</v>
      </c>
      <c r="M3" s="7">
        <v>368.5</v>
      </c>
      <c r="N3" s="7">
        <v>368.5</v>
      </c>
      <c r="O3" s="7">
        <v>390.4</v>
      </c>
      <c r="P3" s="7">
        <v>370.8</v>
      </c>
      <c r="Q3" s="7">
        <v>399.1</v>
      </c>
      <c r="R3" s="7">
        <v>376.8</v>
      </c>
      <c r="S3" s="7">
        <v>388.8</v>
      </c>
      <c r="T3" s="7">
        <v>385.7</v>
      </c>
      <c r="U3" s="7">
        <v>378.8</v>
      </c>
      <c r="V3" s="7">
        <v>376</v>
      </c>
      <c r="W3" s="7">
        <v>378.8</v>
      </c>
      <c r="X3" s="7">
        <v>382.7</v>
      </c>
      <c r="Y3" s="7">
        <v>375.9</v>
      </c>
      <c r="Z3" s="7">
        <v>383.2</v>
      </c>
      <c r="AA3" s="7">
        <v>385.8</v>
      </c>
      <c r="AB3" s="7">
        <v>372.8</v>
      </c>
      <c r="AC3" s="7">
        <v>366.2</v>
      </c>
      <c r="AD3" s="7">
        <v>380.7</v>
      </c>
      <c r="AE3" s="7">
        <v>381.3</v>
      </c>
      <c r="AF3" s="7">
        <v>373.6</v>
      </c>
      <c r="AG3" s="7">
        <v>369.3</v>
      </c>
      <c r="AH3" s="7">
        <v>369.1</v>
      </c>
      <c r="AI3" s="30">
        <v>376</v>
      </c>
    </row>
    <row r="4" spans="1:35" s="3" customFormat="1" ht="26.25" customHeight="1">
      <c r="A4" s="56"/>
      <c r="B4" s="7" t="s">
        <v>37</v>
      </c>
      <c r="C4" s="7">
        <f t="shared" ref="C4:C9" si="1">D4+0</f>
        <v>11999.799999999997</v>
      </c>
      <c r="D4" s="7">
        <f t="shared" si="0"/>
        <v>11999.799999999997</v>
      </c>
      <c r="E4" s="7">
        <v>414</v>
      </c>
      <c r="F4" s="7">
        <v>374.4</v>
      </c>
      <c r="G4" s="7">
        <v>388.8</v>
      </c>
      <c r="H4" s="7">
        <v>377.8</v>
      </c>
      <c r="I4" s="7">
        <v>384.2</v>
      </c>
      <c r="J4" s="7">
        <v>376.5</v>
      </c>
      <c r="K4" s="7">
        <v>397.2</v>
      </c>
      <c r="L4" s="7">
        <v>376.8</v>
      </c>
      <c r="M4" s="7">
        <v>401.8</v>
      </c>
      <c r="N4" s="7">
        <v>408.9</v>
      </c>
      <c r="O4" s="7">
        <v>382</v>
      </c>
      <c r="P4" s="7">
        <v>391.9</v>
      </c>
      <c r="Q4" s="7">
        <v>393</v>
      </c>
      <c r="R4" s="7">
        <v>380.8</v>
      </c>
      <c r="S4" s="7">
        <v>386.5</v>
      </c>
      <c r="T4" s="7">
        <v>389.2</v>
      </c>
      <c r="U4" s="7">
        <v>388.3</v>
      </c>
      <c r="V4" s="7">
        <v>382.7</v>
      </c>
      <c r="W4" s="7">
        <v>394.8</v>
      </c>
      <c r="X4" s="7">
        <v>383</v>
      </c>
      <c r="Y4" s="7">
        <v>402</v>
      </c>
      <c r="Z4" s="7">
        <v>406</v>
      </c>
      <c r="AA4" s="7">
        <v>365.8</v>
      </c>
      <c r="AB4" s="7">
        <v>373.3</v>
      </c>
      <c r="AC4" s="7">
        <v>381.7</v>
      </c>
      <c r="AD4" s="7">
        <v>379</v>
      </c>
      <c r="AE4" s="7">
        <v>384.4</v>
      </c>
      <c r="AF4" s="7">
        <v>391.1</v>
      </c>
      <c r="AG4" s="7">
        <v>396.7</v>
      </c>
      <c r="AH4" s="30">
        <v>379.4</v>
      </c>
      <c r="AI4" s="7">
        <v>367.8</v>
      </c>
    </row>
    <row r="5" spans="1:35" s="3" customFormat="1" ht="24.95" customHeight="1">
      <c r="A5" s="56"/>
      <c r="B5" s="7" t="s">
        <v>38</v>
      </c>
      <c r="C5" s="7">
        <f t="shared" si="1"/>
        <v>23791.300000000003</v>
      </c>
      <c r="D5" s="7">
        <f t="shared" si="0"/>
        <v>23791.300000000003</v>
      </c>
      <c r="E5" s="7">
        <f>SUM(E3:E4)</f>
        <v>805.5</v>
      </c>
      <c r="F5" s="7">
        <f t="shared" ref="F5:AI5" si="2">SUM(F3:F4)</f>
        <v>774</v>
      </c>
      <c r="G5" s="7">
        <f t="shared" si="2"/>
        <v>778.3</v>
      </c>
      <c r="H5" s="7">
        <f t="shared" si="2"/>
        <v>747.8</v>
      </c>
      <c r="I5" s="7">
        <f t="shared" si="2"/>
        <v>762.4</v>
      </c>
      <c r="J5" s="7">
        <f t="shared" si="2"/>
        <v>772.3</v>
      </c>
      <c r="K5" s="7">
        <f t="shared" si="2"/>
        <v>782.59999999999991</v>
      </c>
      <c r="L5" s="7">
        <f t="shared" si="2"/>
        <v>759.5</v>
      </c>
      <c r="M5" s="7">
        <f t="shared" si="2"/>
        <v>770.3</v>
      </c>
      <c r="N5" s="7">
        <f t="shared" si="2"/>
        <v>777.4</v>
      </c>
      <c r="O5" s="7">
        <f t="shared" si="2"/>
        <v>772.4</v>
      </c>
      <c r="P5" s="7">
        <f t="shared" si="2"/>
        <v>762.7</v>
      </c>
      <c r="Q5" s="7">
        <f t="shared" si="2"/>
        <v>792.1</v>
      </c>
      <c r="R5" s="7">
        <f t="shared" si="2"/>
        <v>757.6</v>
      </c>
      <c r="S5" s="7">
        <f t="shared" si="2"/>
        <v>775.3</v>
      </c>
      <c r="T5" s="7">
        <f t="shared" si="2"/>
        <v>774.9</v>
      </c>
      <c r="U5" s="7">
        <f t="shared" si="2"/>
        <v>767.1</v>
      </c>
      <c r="V5" s="7">
        <f t="shared" si="2"/>
        <v>758.7</v>
      </c>
      <c r="W5" s="7">
        <f t="shared" si="2"/>
        <v>773.6</v>
      </c>
      <c r="X5" s="7">
        <f t="shared" si="2"/>
        <v>765.7</v>
      </c>
      <c r="Y5" s="7">
        <f t="shared" si="2"/>
        <v>777.9</v>
      </c>
      <c r="Z5" s="7">
        <f t="shared" si="2"/>
        <v>789.2</v>
      </c>
      <c r="AA5" s="7">
        <f t="shared" si="2"/>
        <v>751.6</v>
      </c>
      <c r="AB5" s="7">
        <f t="shared" si="2"/>
        <v>746.1</v>
      </c>
      <c r="AC5" s="7">
        <f t="shared" si="2"/>
        <v>747.9</v>
      </c>
      <c r="AD5" s="7">
        <f t="shared" si="2"/>
        <v>759.7</v>
      </c>
      <c r="AE5" s="7">
        <f t="shared" si="2"/>
        <v>765.7</v>
      </c>
      <c r="AF5" s="7">
        <f t="shared" si="2"/>
        <v>764.7</v>
      </c>
      <c r="AG5" s="7">
        <f t="shared" si="2"/>
        <v>766</v>
      </c>
      <c r="AH5" s="7">
        <f t="shared" si="2"/>
        <v>748.5</v>
      </c>
      <c r="AI5" s="7">
        <f t="shared" si="2"/>
        <v>743.8</v>
      </c>
    </row>
    <row r="6" spans="1:35" s="3" customFormat="1" ht="24.95" customHeight="1">
      <c r="A6" s="56" t="s">
        <v>39</v>
      </c>
      <c r="B6" s="7" t="s">
        <v>40</v>
      </c>
      <c r="C6" s="7">
        <f t="shared" si="1"/>
        <v>5598480</v>
      </c>
      <c r="D6" s="7">
        <f t="shared" si="0"/>
        <v>5598480</v>
      </c>
      <c r="E6" s="7">
        <v>189840</v>
      </c>
      <c r="F6" s="7">
        <v>193200</v>
      </c>
      <c r="G6" s="7">
        <v>175920</v>
      </c>
      <c r="H6" s="7">
        <v>172320</v>
      </c>
      <c r="I6" s="7">
        <v>165120</v>
      </c>
      <c r="J6" s="7">
        <v>178560</v>
      </c>
      <c r="K6" s="7">
        <v>185280</v>
      </c>
      <c r="L6" s="7">
        <v>188400</v>
      </c>
      <c r="M6" s="7">
        <v>181920</v>
      </c>
      <c r="N6" s="7">
        <v>177840</v>
      </c>
      <c r="O6" s="7">
        <v>181200</v>
      </c>
      <c r="P6" s="26">
        <v>180720</v>
      </c>
      <c r="Q6" s="7">
        <v>184080</v>
      </c>
      <c r="R6" s="7">
        <v>185520</v>
      </c>
      <c r="S6" s="7">
        <v>176160</v>
      </c>
      <c r="T6" s="7">
        <v>178080</v>
      </c>
      <c r="U6" s="26">
        <v>181680</v>
      </c>
      <c r="V6" s="7">
        <v>177120</v>
      </c>
      <c r="W6" s="7">
        <v>174960</v>
      </c>
      <c r="X6" s="7">
        <v>168480</v>
      </c>
      <c r="Y6" s="7">
        <v>175680</v>
      </c>
      <c r="Z6" s="7">
        <v>183120</v>
      </c>
      <c r="AA6" s="7">
        <v>180000</v>
      </c>
      <c r="AB6" s="7">
        <v>180000</v>
      </c>
      <c r="AC6" s="7">
        <v>179520</v>
      </c>
      <c r="AD6" s="7">
        <v>187200</v>
      </c>
      <c r="AE6" s="7">
        <v>181200</v>
      </c>
      <c r="AF6" s="7">
        <v>178320</v>
      </c>
      <c r="AG6" s="7">
        <v>187680</v>
      </c>
      <c r="AH6" s="7">
        <v>179280</v>
      </c>
      <c r="AI6" s="7">
        <v>190080</v>
      </c>
    </row>
    <row r="7" spans="1:35" s="3" customFormat="1" ht="24.95" customHeight="1">
      <c r="A7" s="56"/>
      <c r="B7" s="7" t="s">
        <v>41</v>
      </c>
      <c r="C7" s="7">
        <f t="shared" si="1"/>
        <v>4880400</v>
      </c>
      <c r="D7" s="7">
        <f t="shared" si="0"/>
        <v>4880400</v>
      </c>
      <c r="E7" s="7">
        <v>169920</v>
      </c>
      <c r="F7" s="7">
        <v>166560</v>
      </c>
      <c r="G7" s="7">
        <v>167040</v>
      </c>
      <c r="H7" s="7">
        <v>158160</v>
      </c>
      <c r="I7" s="7">
        <v>165360</v>
      </c>
      <c r="J7" s="7">
        <v>167520</v>
      </c>
      <c r="K7" s="7">
        <v>168000</v>
      </c>
      <c r="L7" s="7">
        <v>165600</v>
      </c>
      <c r="M7" s="7">
        <v>151440</v>
      </c>
      <c r="N7" s="7">
        <v>156960</v>
      </c>
      <c r="O7" s="7">
        <v>157440</v>
      </c>
      <c r="P7" s="26">
        <v>162000</v>
      </c>
      <c r="Q7" s="7">
        <v>171600</v>
      </c>
      <c r="R7" s="7">
        <v>161520</v>
      </c>
      <c r="S7" s="7">
        <v>147120</v>
      </c>
      <c r="T7" s="7">
        <v>143040</v>
      </c>
      <c r="U7" s="7">
        <v>164160</v>
      </c>
      <c r="V7" s="7">
        <v>156240</v>
      </c>
      <c r="W7" s="7">
        <v>152880</v>
      </c>
      <c r="X7" s="7">
        <v>144240</v>
      </c>
      <c r="Y7" s="7">
        <v>145200</v>
      </c>
      <c r="Z7" s="7">
        <v>152400</v>
      </c>
      <c r="AA7" s="7">
        <v>147360</v>
      </c>
      <c r="AB7" s="7">
        <v>146160</v>
      </c>
      <c r="AC7" s="7">
        <v>150720</v>
      </c>
      <c r="AD7" s="7">
        <v>151680</v>
      </c>
      <c r="AE7" s="7">
        <v>154080</v>
      </c>
      <c r="AF7" s="7">
        <v>154080</v>
      </c>
      <c r="AG7" s="7">
        <v>157440</v>
      </c>
      <c r="AH7" s="7">
        <v>164160</v>
      </c>
      <c r="AI7" s="26">
        <v>160320</v>
      </c>
    </row>
    <row r="8" spans="1:35" s="3" customFormat="1" ht="24.95" customHeight="1">
      <c r="A8" s="56"/>
      <c r="B8" s="7" t="s">
        <v>38</v>
      </c>
      <c r="C8" s="7">
        <f t="shared" si="1"/>
        <v>10478880</v>
      </c>
      <c r="D8" s="7">
        <f t="shared" si="0"/>
        <v>10478880</v>
      </c>
      <c r="E8" s="7">
        <f t="shared" ref="E8:S8" si="3">SUM(E6:E7)</f>
        <v>359760</v>
      </c>
      <c r="F8" s="7">
        <f t="shared" si="3"/>
        <v>359760</v>
      </c>
      <c r="G8" s="7">
        <f t="shared" si="3"/>
        <v>342960</v>
      </c>
      <c r="H8" s="7">
        <f t="shared" si="3"/>
        <v>330480</v>
      </c>
      <c r="I8" s="7">
        <f t="shared" si="3"/>
        <v>330480</v>
      </c>
      <c r="J8" s="7">
        <f t="shared" si="3"/>
        <v>346080</v>
      </c>
      <c r="K8" s="7">
        <f t="shared" si="3"/>
        <v>353280</v>
      </c>
      <c r="L8" s="7">
        <f t="shared" si="3"/>
        <v>354000</v>
      </c>
      <c r="M8" s="7">
        <f t="shared" si="3"/>
        <v>333360</v>
      </c>
      <c r="N8" s="7">
        <f t="shared" si="3"/>
        <v>334800</v>
      </c>
      <c r="O8" s="7">
        <f t="shared" si="3"/>
        <v>338640</v>
      </c>
      <c r="P8" s="7">
        <f t="shared" si="3"/>
        <v>342720</v>
      </c>
      <c r="Q8" s="7">
        <f t="shared" si="3"/>
        <v>355680</v>
      </c>
      <c r="R8" s="7">
        <f t="shared" si="3"/>
        <v>347040</v>
      </c>
      <c r="S8" s="7">
        <f t="shared" si="3"/>
        <v>323280</v>
      </c>
      <c r="T8" s="7">
        <f t="shared" ref="T8:AI8" si="4">SUM(T6:T7)</f>
        <v>321120</v>
      </c>
      <c r="U8" s="7">
        <f t="shared" si="4"/>
        <v>345840</v>
      </c>
      <c r="V8" s="7">
        <f t="shared" si="4"/>
        <v>333360</v>
      </c>
      <c r="W8" s="7">
        <f t="shared" si="4"/>
        <v>327840</v>
      </c>
      <c r="X8" s="7">
        <f t="shared" si="4"/>
        <v>312720</v>
      </c>
      <c r="Y8" s="7">
        <f t="shared" si="4"/>
        <v>320880</v>
      </c>
      <c r="Z8" s="7">
        <f t="shared" si="4"/>
        <v>335520</v>
      </c>
      <c r="AA8" s="7">
        <f t="shared" si="4"/>
        <v>327360</v>
      </c>
      <c r="AB8" s="7">
        <f t="shared" si="4"/>
        <v>326160</v>
      </c>
      <c r="AC8" s="7">
        <f t="shared" si="4"/>
        <v>330240</v>
      </c>
      <c r="AD8" s="7">
        <f t="shared" si="4"/>
        <v>338880</v>
      </c>
      <c r="AE8" s="7">
        <f t="shared" si="4"/>
        <v>335280</v>
      </c>
      <c r="AF8" s="7">
        <f t="shared" si="4"/>
        <v>332400</v>
      </c>
      <c r="AG8" s="7">
        <f t="shared" si="4"/>
        <v>345120</v>
      </c>
      <c r="AH8" s="7">
        <f t="shared" si="4"/>
        <v>343440</v>
      </c>
      <c r="AI8" s="7">
        <f t="shared" si="4"/>
        <v>350400</v>
      </c>
    </row>
    <row r="9" spans="1:35" s="3" customFormat="1" ht="24.95" customHeight="1">
      <c r="A9" s="56" t="s">
        <v>42</v>
      </c>
      <c r="B9" s="7" t="s">
        <v>38</v>
      </c>
      <c r="C9" s="7">
        <f t="shared" si="1"/>
        <v>8956100</v>
      </c>
      <c r="D9" s="7">
        <f t="shared" si="0"/>
        <v>8956100</v>
      </c>
      <c r="E9" s="7">
        <v>312640</v>
      </c>
      <c r="F9" s="7">
        <v>309820</v>
      </c>
      <c r="G9" s="7">
        <v>293620</v>
      </c>
      <c r="H9" s="7">
        <v>281960</v>
      </c>
      <c r="I9" s="7">
        <v>280300</v>
      </c>
      <c r="J9" s="7">
        <v>295740</v>
      </c>
      <c r="K9" s="7">
        <v>302440</v>
      </c>
      <c r="L9" s="7">
        <v>304860</v>
      </c>
      <c r="M9" s="7">
        <v>283700</v>
      </c>
      <c r="N9" s="7">
        <v>283140</v>
      </c>
      <c r="O9" s="7">
        <v>285740</v>
      </c>
      <c r="P9" s="7">
        <v>291320</v>
      </c>
      <c r="Q9" s="7">
        <v>304260</v>
      </c>
      <c r="R9" s="7">
        <v>298440</v>
      </c>
      <c r="S9" s="7">
        <v>276980</v>
      </c>
      <c r="T9" s="7">
        <v>272320</v>
      </c>
      <c r="U9" s="7">
        <v>296480</v>
      </c>
      <c r="V9" s="7">
        <v>285000</v>
      </c>
      <c r="W9" s="7">
        <v>282920</v>
      </c>
      <c r="X9" s="7">
        <v>264240</v>
      </c>
      <c r="Y9" s="7">
        <v>273440</v>
      </c>
      <c r="Z9" s="7">
        <v>287200</v>
      </c>
      <c r="AA9" s="7">
        <v>282840</v>
      </c>
      <c r="AB9" s="7">
        <v>281240</v>
      </c>
      <c r="AC9" s="7">
        <v>282280</v>
      </c>
      <c r="AD9" s="7">
        <v>288440</v>
      </c>
      <c r="AE9" s="7">
        <v>285180</v>
      </c>
      <c r="AF9" s="7">
        <v>282520</v>
      </c>
      <c r="AG9" s="7">
        <v>293720</v>
      </c>
      <c r="AH9" s="7">
        <v>294820</v>
      </c>
      <c r="AI9" s="7">
        <v>298500</v>
      </c>
    </row>
    <row r="10" spans="1:35" s="3" customFormat="1" ht="24.95" customHeight="1">
      <c r="A10" s="56"/>
      <c r="B10" s="6" t="s">
        <v>43</v>
      </c>
      <c r="C10" s="8">
        <f t="shared" ref="C10:AI10" si="5">SUM(C8/C5)</f>
        <v>440.45008049160822</v>
      </c>
      <c r="D10" s="8">
        <f t="shared" si="5"/>
        <v>440.45008049160822</v>
      </c>
      <c r="E10" s="8">
        <f t="shared" si="5"/>
        <v>446.6294227188082</v>
      </c>
      <c r="F10" s="8">
        <f t="shared" si="5"/>
        <v>464.80620155038758</v>
      </c>
      <c r="G10" s="8">
        <f t="shared" si="5"/>
        <v>440.65270461261724</v>
      </c>
      <c r="H10" s="8">
        <f t="shared" si="5"/>
        <v>441.93634661674247</v>
      </c>
      <c r="I10" s="8">
        <f t="shared" si="5"/>
        <v>433.47324239244494</v>
      </c>
      <c r="J10" s="8">
        <f t="shared" si="5"/>
        <v>448.11601709180371</v>
      </c>
      <c r="K10" s="8">
        <f t="shared" si="5"/>
        <v>451.41834909276776</v>
      </c>
      <c r="L10" s="8">
        <f t="shared" si="5"/>
        <v>466.09611586570111</v>
      </c>
      <c r="M10" s="8">
        <f t="shared" si="5"/>
        <v>432.76645462806704</v>
      </c>
      <c r="N10" s="8">
        <f t="shared" si="5"/>
        <v>430.66632364291229</v>
      </c>
      <c r="O10" s="8">
        <f t="shared" si="5"/>
        <v>438.4256861729674</v>
      </c>
      <c r="P10" s="8">
        <f t="shared" si="5"/>
        <v>449.35098990428736</v>
      </c>
      <c r="Q10" s="8">
        <f t="shared" si="5"/>
        <v>449.03421285191263</v>
      </c>
      <c r="R10" s="8">
        <f t="shared" si="5"/>
        <v>458.078141499472</v>
      </c>
      <c r="S10" s="8">
        <f t="shared" si="5"/>
        <v>416.97407455178643</v>
      </c>
      <c r="T10" s="8">
        <f t="shared" si="5"/>
        <v>414.40185830429732</v>
      </c>
      <c r="U10" s="8">
        <f t="shared" si="5"/>
        <v>450.84082909659759</v>
      </c>
      <c r="V10" s="8">
        <f t="shared" si="5"/>
        <v>439.38315539739023</v>
      </c>
      <c r="W10" s="8">
        <f t="shared" si="5"/>
        <v>423.78490175801448</v>
      </c>
      <c r="X10" s="8">
        <f t="shared" si="5"/>
        <v>408.41060467546032</v>
      </c>
      <c r="Y10" s="8">
        <f t="shared" si="5"/>
        <v>412.49517932896259</v>
      </c>
      <c r="Z10" s="8">
        <f t="shared" si="5"/>
        <v>425.1393816523061</v>
      </c>
      <c r="AA10" s="8">
        <f t="shared" si="5"/>
        <v>435.55082490686533</v>
      </c>
      <c r="AB10" s="8">
        <f t="shared" si="5"/>
        <v>437.15319662243667</v>
      </c>
      <c r="AC10" s="8">
        <f t="shared" si="5"/>
        <v>441.55635780184519</v>
      </c>
      <c r="AD10" s="8">
        <f t="shared" si="5"/>
        <v>446.07081742793207</v>
      </c>
      <c r="AE10" s="8">
        <f t="shared" si="5"/>
        <v>437.87384092986809</v>
      </c>
      <c r="AF10" s="8">
        <f t="shared" si="5"/>
        <v>434.68026677128285</v>
      </c>
      <c r="AG10" s="8">
        <f t="shared" si="5"/>
        <v>450.54830287206266</v>
      </c>
      <c r="AH10" s="8">
        <f t="shared" si="5"/>
        <v>458.83767535070137</v>
      </c>
      <c r="AI10" s="8">
        <f t="shared" si="5"/>
        <v>471.09438020973386</v>
      </c>
    </row>
    <row r="11" spans="1:35" s="3" customFormat="1" ht="24.95" customHeight="1">
      <c r="A11" s="56"/>
      <c r="B11" s="9" t="s">
        <v>44</v>
      </c>
      <c r="C11" s="8">
        <f>(C8-C16)/C5</f>
        <v>376.44433049055743</v>
      </c>
      <c r="D11" s="8">
        <f>(D8-D16)/D5</f>
        <v>376.44433049055743</v>
      </c>
      <c r="E11" s="8">
        <f t="shared" ref="E11:AI11" si="6">SUM(E9/E5)</f>
        <v>388.1315952824333</v>
      </c>
      <c r="F11" s="8">
        <f t="shared" si="6"/>
        <v>400.28423772609818</v>
      </c>
      <c r="G11" s="8">
        <f t="shared" si="6"/>
        <v>377.25812668636775</v>
      </c>
      <c r="H11" s="8">
        <f t="shared" si="6"/>
        <v>377.05268788446114</v>
      </c>
      <c r="I11" s="8">
        <f t="shared" si="6"/>
        <v>367.65477439664221</v>
      </c>
      <c r="J11" s="8">
        <f t="shared" si="6"/>
        <v>382.93409296905349</v>
      </c>
      <c r="K11" s="8">
        <f t="shared" si="6"/>
        <v>386.45540506005625</v>
      </c>
      <c r="L11" s="8">
        <f t="shared" si="6"/>
        <v>401.39565503620804</v>
      </c>
      <c r="M11" s="8">
        <f t="shared" si="6"/>
        <v>368.29806568869276</v>
      </c>
      <c r="N11" s="8">
        <f t="shared" si="6"/>
        <v>364.21404682274249</v>
      </c>
      <c r="O11" s="8">
        <f t="shared" si="6"/>
        <v>369.93785603314348</v>
      </c>
      <c r="P11" s="8">
        <f t="shared" si="6"/>
        <v>381.95883047069617</v>
      </c>
      <c r="Q11" s="8">
        <f t="shared" si="6"/>
        <v>384.11816689811889</v>
      </c>
      <c r="R11" s="8">
        <f t="shared" si="6"/>
        <v>393.92819429778245</v>
      </c>
      <c r="S11" s="8">
        <f t="shared" si="6"/>
        <v>357.25525602992394</v>
      </c>
      <c r="T11" s="8">
        <f t="shared" si="6"/>
        <v>351.42599045038071</v>
      </c>
      <c r="U11" s="8">
        <f t="shared" si="6"/>
        <v>386.49459001433974</v>
      </c>
      <c r="V11" s="8">
        <f t="shared" si="6"/>
        <v>375.64254646105178</v>
      </c>
      <c r="W11" s="8">
        <f t="shared" si="6"/>
        <v>365.71871768355737</v>
      </c>
      <c r="X11" s="8">
        <f t="shared" si="6"/>
        <v>345.0959905968395</v>
      </c>
      <c r="Y11" s="8">
        <f t="shared" si="6"/>
        <v>351.51047692505466</v>
      </c>
      <c r="Z11" s="8">
        <f t="shared" si="6"/>
        <v>363.91282311201212</v>
      </c>
      <c r="AA11" s="8">
        <f t="shared" si="6"/>
        <v>376.31718999467802</v>
      </c>
      <c r="AB11" s="8">
        <f t="shared" si="6"/>
        <v>376.94678997453423</v>
      </c>
      <c r="AC11" s="8">
        <f t="shared" si="6"/>
        <v>377.43013771894641</v>
      </c>
      <c r="AD11" s="8">
        <f t="shared" si="6"/>
        <v>379.6761879689351</v>
      </c>
      <c r="AE11" s="8">
        <f t="shared" si="6"/>
        <v>372.44351573723389</v>
      </c>
      <c r="AF11" s="8">
        <f t="shared" si="6"/>
        <v>369.45207270825159</v>
      </c>
      <c r="AG11" s="8">
        <f t="shared" si="6"/>
        <v>383.44647519582247</v>
      </c>
      <c r="AH11" s="8">
        <f t="shared" si="6"/>
        <v>393.88109552438209</v>
      </c>
      <c r="AI11" s="8">
        <f t="shared" si="6"/>
        <v>401.3175584834633</v>
      </c>
    </row>
    <row r="12" spans="1:35" s="3" customFormat="1" ht="24.95" customHeight="1">
      <c r="A12" s="56"/>
      <c r="B12" s="6" t="s">
        <v>45</v>
      </c>
      <c r="C12" s="8">
        <f t="shared" ref="C12:C16" si="7">D12+0</f>
        <v>23041.919999999995</v>
      </c>
      <c r="D12" s="8">
        <f t="shared" ref="D12:D16" si="8">SUM(E12:AI12)</f>
        <v>23041.919999999995</v>
      </c>
      <c r="E12" s="7">
        <v>605.78</v>
      </c>
      <c r="F12" s="7">
        <v>682.04</v>
      </c>
      <c r="G12" s="7">
        <v>626.76</v>
      </c>
      <c r="H12" s="7">
        <v>663.4</v>
      </c>
      <c r="I12" s="7">
        <v>626.82000000000005</v>
      </c>
      <c r="J12" s="7">
        <v>619.28</v>
      </c>
      <c r="K12" s="7">
        <v>550.12</v>
      </c>
      <c r="L12" s="7">
        <v>532.22</v>
      </c>
      <c r="M12" s="7">
        <v>480.66</v>
      </c>
      <c r="N12" s="7">
        <v>481.4</v>
      </c>
      <c r="O12" s="7">
        <v>540.29999999999995</v>
      </c>
      <c r="P12" s="7">
        <v>533.86</v>
      </c>
      <c r="Q12" s="7">
        <v>485.02</v>
      </c>
      <c r="R12" s="7">
        <v>522.28</v>
      </c>
      <c r="S12" s="7">
        <v>973.76</v>
      </c>
      <c r="T12" s="7">
        <v>1026.6199999999999</v>
      </c>
      <c r="U12" s="7">
        <v>1004.64</v>
      </c>
      <c r="V12" s="7">
        <v>1167.74</v>
      </c>
      <c r="W12" s="7">
        <v>1228.24</v>
      </c>
      <c r="X12" s="7">
        <v>1137.3599999999999</v>
      </c>
      <c r="Y12" s="7">
        <v>1049.22</v>
      </c>
      <c r="Z12" s="7">
        <v>1223.58</v>
      </c>
      <c r="AA12" s="7">
        <v>1199.54</v>
      </c>
      <c r="AB12" s="7">
        <v>1045.46</v>
      </c>
      <c r="AC12" s="7">
        <v>591.76</v>
      </c>
      <c r="AD12" s="12">
        <v>661.26</v>
      </c>
      <c r="AE12" s="7">
        <v>641</v>
      </c>
      <c r="AF12" s="7">
        <v>490.3</v>
      </c>
      <c r="AG12" s="7">
        <v>738.48</v>
      </c>
      <c r="AH12" s="12">
        <v>448.64</v>
      </c>
      <c r="AI12" s="7">
        <v>464.38</v>
      </c>
    </row>
    <row r="13" spans="1:35" s="3" customFormat="1" ht="24.95" customHeight="1">
      <c r="A13" s="58" t="s">
        <v>46</v>
      </c>
      <c r="B13" s="6" t="s">
        <v>36</v>
      </c>
      <c r="C13" s="8">
        <f t="shared" si="7"/>
        <v>30021</v>
      </c>
      <c r="D13" s="10">
        <f t="shared" si="8"/>
        <v>30021</v>
      </c>
      <c r="E13" s="7">
        <v>1017</v>
      </c>
      <c r="F13" s="7">
        <v>1017</v>
      </c>
      <c r="G13" s="7">
        <v>951</v>
      </c>
      <c r="H13" s="7">
        <v>931</v>
      </c>
      <c r="I13" s="7">
        <v>930</v>
      </c>
      <c r="J13" s="7">
        <v>1007</v>
      </c>
      <c r="K13" s="7">
        <v>1046</v>
      </c>
      <c r="L13" s="7">
        <v>1010</v>
      </c>
      <c r="M13" s="20">
        <v>935</v>
      </c>
      <c r="N13" s="7">
        <v>925</v>
      </c>
      <c r="O13" s="7">
        <v>949</v>
      </c>
      <c r="P13" s="20">
        <v>969</v>
      </c>
      <c r="Q13" s="7">
        <v>1005</v>
      </c>
      <c r="R13" s="7">
        <v>979</v>
      </c>
      <c r="S13" s="7">
        <v>920</v>
      </c>
      <c r="T13" s="7">
        <v>907</v>
      </c>
      <c r="U13" s="7">
        <v>979</v>
      </c>
      <c r="V13" s="7">
        <v>1017</v>
      </c>
      <c r="W13" s="7">
        <v>909</v>
      </c>
      <c r="X13" s="7">
        <v>902</v>
      </c>
      <c r="Y13" s="7">
        <v>965</v>
      </c>
      <c r="Z13" s="7">
        <v>958</v>
      </c>
      <c r="AA13" s="7">
        <v>939</v>
      </c>
      <c r="AB13" s="7">
        <v>969</v>
      </c>
      <c r="AC13" s="7">
        <v>973</v>
      </c>
      <c r="AD13" s="7">
        <v>973</v>
      </c>
      <c r="AE13" s="7">
        <v>978</v>
      </c>
      <c r="AF13" s="7">
        <v>938</v>
      </c>
      <c r="AG13" s="7">
        <v>989</v>
      </c>
      <c r="AH13" s="7">
        <v>985</v>
      </c>
      <c r="AI13" s="7">
        <v>1049</v>
      </c>
    </row>
    <row r="14" spans="1:35" s="3" customFormat="1" ht="24.95" customHeight="1">
      <c r="A14" s="59"/>
      <c r="B14" s="6" t="s">
        <v>37</v>
      </c>
      <c r="C14" s="8">
        <f t="shared" si="7"/>
        <v>30467</v>
      </c>
      <c r="D14" s="10">
        <f t="shared" si="8"/>
        <v>30467</v>
      </c>
      <c r="E14" s="7">
        <v>1027</v>
      </c>
      <c r="F14" s="7">
        <v>1023</v>
      </c>
      <c r="G14" s="7">
        <v>1001</v>
      </c>
      <c r="H14" s="7">
        <v>977</v>
      </c>
      <c r="I14" s="7">
        <v>962</v>
      </c>
      <c r="J14" s="7">
        <v>976</v>
      </c>
      <c r="K14" s="7">
        <v>1018</v>
      </c>
      <c r="L14" s="7">
        <v>1018</v>
      </c>
      <c r="M14" s="20">
        <v>976</v>
      </c>
      <c r="N14" s="7">
        <v>978</v>
      </c>
      <c r="O14" s="7">
        <v>943</v>
      </c>
      <c r="P14" s="20">
        <v>951</v>
      </c>
      <c r="Q14" s="7">
        <v>977</v>
      </c>
      <c r="R14" s="7">
        <v>990</v>
      </c>
      <c r="S14" s="7">
        <v>939</v>
      </c>
      <c r="T14" s="7">
        <v>928</v>
      </c>
      <c r="U14" s="7">
        <v>1003</v>
      </c>
      <c r="V14" s="7">
        <v>987</v>
      </c>
      <c r="W14" s="7">
        <v>965</v>
      </c>
      <c r="X14" s="7">
        <v>932</v>
      </c>
      <c r="Y14" s="7">
        <v>906</v>
      </c>
      <c r="Z14" s="7">
        <v>988</v>
      </c>
      <c r="AA14" s="7">
        <v>965</v>
      </c>
      <c r="AB14" s="7">
        <v>985</v>
      </c>
      <c r="AC14" s="7">
        <v>967</v>
      </c>
      <c r="AD14" s="7">
        <v>1011</v>
      </c>
      <c r="AE14" s="7">
        <v>991</v>
      </c>
      <c r="AF14" s="7">
        <v>1012</v>
      </c>
      <c r="AG14" s="7">
        <v>1030</v>
      </c>
      <c r="AH14" s="7">
        <v>1033</v>
      </c>
      <c r="AI14" s="7">
        <v>1008</v>
      </c>
    </row>
    <row r="15" spans="1:35" s="3" customFormat="1" ht="24" customHeight="1">
      <c r="A15" s="60"/>
      <c r="B15" s="7" t="s">
        <v>38</v>
      </c>
      <c r="C15" s="8">
        <f t="shared" si="7"/>
        <v>60488</v>
      </c>
      <c r="D15" s="7">
        <f t="shared" si="8"/>
        <v>60488</v>
      </c>
      <c r="E15" s="7">
        <f>SUM(E13:E14)</f>
        <v>2044</v>
      </c>
      <c r="F15" s="7">
        <f>SUM(F13:F14)</f>
        <v>2040</v>
      </c>
      <c r="G15" s="7">
        <f t="shared" ref="G15:AI15" si="9">SUM(G13:G14)</f>
        <v>1952</v>
      </c>
      <c r="H15" s="7">
        <f t="shared" si="9"/>
        <v>1908</v>
      </c>
      <c r="I15" s="7">
        <f t="shared" si="9"/>
        <v>1892</v>
      </c>
      <c r="J15" s="7">
        <f t="shared" si="9"/>
        <v>1983</v>
      </c>
      <c r="K15" s="7">
        <f t="shared" si="9"/>
        <v>2064</v>
      </c>
      <c r="L15" s="7">
        <f t="shared" si="9"/>
        <v>2028</v>
      </c>
      <c r="M15" s="7">
        <f t="shared" si="9"/>
        <v>1911</v>
      </c>
      <c r="N15" s="7">
        <f t="shared" si="9"/>
        <v>1903</v>
      </c>
      <c r="O15" s="7">
        <f t="shared" si="9"/>
        <v>1892</v>
      </c>
      <c r="P15" s="7">
        <f t="shared" si="9"/>
        <v>1920</v>
      </c>
      <c r="Q15" s="7">
        <f t="shared" si="9"/>
        <v>1982</v>
      </c>
      <c r="R15" s="7">
        <f t="shared" si="9"/>
        <v>1969</v>
      </c>
      <c r="S15" s="7">
        <f t="shared" si="9"/>
        <v>1859</v>
      </c>
      <c r="T15" s="7">
        <f t="shared" si="9"/>
        <v>1835</v>
      </c>
      <c r="U15" s="7">
        <f t="shared" si="9"/>
        <v>1982</v>
      </c>
      <c r="V15" s="7">
        <f t="shared" si="9"/>
        <v>2004</v>
      </c>
      <c r="W15" s="7">
        <f t="shared" si="9"/>
        <v>1874</v>
      </c>
      <c r="X15" s="7">
        <f t="shared" si="9"/>
        <v>1834</v>
      </c>
      <c r="Y15" s="7">
        <f t="shared" si="9"/>
        <v>1871</v>
      </c>
      <c r="Z15" s="7">
        <f t="shared" si="9"/>
        <v>1946</v>
      </c>
      <c r="AA15" s="7">
        <f t="shared" si="9"/>
        <v>1904</v>
      </c>
      <c r="AB15" s="7">
        <f t="shared" si="9"/>
        <v>1954</v>
      </c>
      <c r="AC15" s="7">
        <f t="shared" si="9"/>
        <v>1940</v>
      </c>
      <c r="AD15" s="7">
        <f t="shared" si="9"/>
        <v>1984</v>
      </c>
      <c r="AE15" s="7">
        <f t="shared" si="9"/>
        <v>1969</v>
      </c>
      <c r="AF15" s="7">
        <f t="shared" si="9"/>
        <v>1950</v>
      </c>
      <c r="AG15" s="7">
        <f t="shared" si="9"/>
        <v>2019</v>
      </c>
      <c r="AH15" s="7">
        <f t="shared" si="9"/>
        <v>2018</v>
      </c>
      <c r="AI15" s="7">
        <f t="shared" si="9"/>
        <v>2057</v>
      </c>
    </row>
    <row r="16" spans="1:35" s="3" customFormat="1" ht="24.95" customHeight="1">
      <c r="A16" s="56" t="s">
        <v>47</v>
      </c>
      <c r="B16" s="7" t="s">
        <v>38</v>
      </c>
      <c r="C16" s="8">
        <f t="shared" si="7"/>
        <v>1522780</v>
      </c>
      <c r="D16" s="7">
        <f t="shared" si="8"/>
        <v>1522780</v>
      </c>
      <c r="E16" s="7">
        <v>47120</v>
      </c>
      <c r="F16" s="7">
        <v>49940</v>
      </c>
      <c r="G16" s="7">
        <v>49340</v>
      </c>
      <c r="H16" s="7">
        <v>48520</v>
      </c>
      <c r="I16" s="7">
        <v>50180</v>
      </c>
      <c r="J16" s="7">
        <v>50340</v>
      </c>
      <c r="K16" s="7">
        <v>50840</v>
      </c>
      <c r="L16" s="7">
        <v>49140</v>
      </c>
      <c r="M16" s="7">
        <v>49660</v>
      </c>
      <c r="N16" s="7">
        <v>51660</v>
      </c>
      <c r="O16" s="7">
        <v>52900</v>
      </c>
      <c r="P16" s="7">
        <v>51400</v>
      </c>
      <c r="Q16" s="7">
        <v>51420</v>
      </c>
      <c r="R16" s="7">
        <v>48600</v>
      </c>
      <c r="S16" s="7">
        <v>46300</v>
      </c>
      <c r="T16" s="7">
        <v>48800</v>
      </c>
      <c r="U16" s="7">
        <v>49360</v>
      </c>
      <c r="V16" s="7">
        <v>48360</v>
      </c>
      <c r="W16" s="7">
        <v>44920</v>
      </c>
      <c r="X16" s="7">
        <v>48480</v>
      </c>
      <c r="Y16" s="7">
        <v>47440</v>
      </c>
      <c r="Z16" s="7">
        <v>48320</v>
      </c>
      <c r="AA16" s="7">
        <v>44520</v>
      </c>
      <c r="AB16" s="7">
        <v>44920</v>
      </c>
      <c r="AC16" s="7">
        <v>47960</v>
      </c>
      <c r="AD16" s="7">
        <v>50440</v>
      </c>
      <c r="AE16" s="7">
        <v>50100</v>
      </c>
      <c r="AF16" s="7">
        <v>49880</v>
      </c>
      <c r="AG16" s="7">
        <v>51400</v>
      </c>
      <c r="AH16" s="7">
        <v>48620</v>
      </c>
      <c r="AI16" s="7">
        <v>51900</v>
      </c>
    </row>
    <row r="17" spans="1:35" s="3" customFormat="1" ht="24.95" customHeight="1">
      <c r="A17" s="56"/>
      <c r="B17" s="6" t="s">
        <v>48</v>
      </c>
      <c r="C17" s="11">
        <f>SUM(C16/C8)</f>
        <v>0.14531896538561373</v>
      </c>
      <c r="D17" s="11">
        <f>SUM(D16/D8)</f>
        <v>0.14531896538561373</v>
      </c>
      <c r="E17" s="11">
        <f>SUM(E16/E8)</f>
        <v>0.13097620635979543</v>
      </c>
      <c r="F17" s="11">
        <f>SUM(F16/F8)</f>
        <v>0.13881476539915499</v>
      </c>
      <c r="G17" s="11">
        <f>SUM(G16/G8)</f>
        <v>0.14386517378119898</v>
      </c>
      <c r="H17" s="11">
        <f>SUM(H16/H8)</f>
        <v>0.1468167513919148</v>
      </c>
      <c r="I17" s="11">
        <f>SUM(I16/I8)</f>
        <v>0.15183974824497701</v>
      </c>
      <c r="J17" s="11">
        <f>SUM(J16/J8)</f>
        <v>0.14545769764216365</v>
      </c>
      <c r="K17" s="11">
        <f>SUM(K16/K8)</f>
        <v>0.14390851449275363</v>
      </c>
      <c r="L17" s="11">
        <f>SUM(L16/L8)</f>
        <v>0.1388135593220339</v>
      </c>
      <c r="M17" s="11">
        <f>SUM(M16/M8)</f>
        <v>0.14896808255339572</v>
      </c>
      <c r="N17" s="11">
        <f>SUM(N16/N8)</f>
        <v>0.1543010752688172</v>
      </c>
      <c r="O17" s="11">
        <f>SUM(O16/O8)</f>
        <v>0.15621308764469644</v>
      </c>
      <c r="P17" s="11">
        <f>SUM(P16/P8)</f>
        <v>0.1499766573295985</v>
      </c>
      <c r="Q17" s="11">
        <f>SUM(Q16/Q8)</f>
        <v>0.14456815114709851</v>
      </c>
      <c r="R17" s="11">
        <f>SUM(R16/R8)</f>
        <v>0.14004149377593361</v>
      </c>
      <c r="S17" s="11">
        <f>SUM(S16/S8)</f>
        <v>0.14321950012373175</v>
      </c>
      <c r="T17" s="11">
        <f>SUM(T16/T8)</f>
        <v>0.15196811160936721</v>
      </c>
      <c r="U17" s="11">
        <f>SUM(U16/U8)</f>
        <v>0.14272495951885264</v>
      </c>
      <c r="V17" s="11">
        <f>SUM(V16/V8)</f>
        <v>0.14506839452843773</v>
      </c>
      <c r="W17" s="11">
        <f>SUM(W16/W8)</f>
        <v>0.13701805758906785</v>
      </c>
      <c r="X17" s="11">
        <f>SUM(X16/X8)</f>
        <v>0.15502686108979277</v>
      </c>
      <c r="Y17" s="11">
        <f>SUM(Y16/Y8)</f>
        <v>0.14784343056594365</v>
      </c>
      <c r="Z17" s="11">
        <f>SUM(Z16/Z8)</f>
        <v>0.14401525989508823</v>
      </c>
      <c r="AA17" s="11">
        <f>SUM(AA16/AA8)</f>
        <v>0.13599706744868034</v>
      </c>
      <c r="AB17" s="11">
        <f>SUM(AB16/AB8)</f>
        <v>0.13772381653176355</v>
      </c>
      <c r="AC17" s="11">
        <f>SUM(AC16/AC8)</f>
        <v>0.14522771317829458</v>
      </c>
      <c r="AD17" s="11">
        <f>SUM(AD16/AD8)</f>
        <v>0.14884324834749765</v>
      </c>
      <c r="AE17" s="11">
        <f>SUM(AE16/AE8)</f>
        <v>0.14942734430923407</v>
      </c>
      <c r="AF17" s="11">
        <f>SUM(AF16/AF8)</f>
        <v>0.15006016847172082</v>
      </c>
      <c r="AG17" s="11">
        <f>SUM(AG16/AG8)</f>
        <v>0.14893370421882243</v>
      </c>
      <c r="AH17" s="11">
        <f>SUM(AH16/AH8)</f>
        <v>0.14156766829722806</v>
      </c>
      <c r="AI17" s="11">
        <f>SUM(AI16/AI8)</f>
        <v>0.14811643835616439</v>
      </c>
    </row>
    <row r="18" spans="1:35" s="3" customFormat="1" ht="24.95" customHeight="1">
      <c r="A18" s="13"/>
      <c r="B18" s="13" t="s">
        <v>49</v>
      </c>
      <c r="C18" s="7"/>
      <c r="D18" s="7"/>
      <c r="E18" s="14">
        <v>3000</v>
      </c>
      <c r="F18" s="14">
        <v>4000</v>
      </c>
      <c r="G18" s="14">
        <v>5000</v>
      </c>
      <c r="H18" s="14">
        <v>5000</v>
      </c>
      <c r="I18" s="14">
        <v>5000</v>
      </c>
      <c r="J18" s="7">
        <v>5000</v>
      </c>
      <c r="K18" s="14">
        <v>4900</v>
      </c>
      <c r="L18" s="7">
        <v>4900</v>
      </c>
      <c r="M18" s="7">
        <v>4900</v>
      </c>
      <c r="N18" s="7">
        <v>5000</v>
      </c>
      <c r="O18" s="7">
        <v>4800</v>
      </c>
      <c r="P18" s="7">
        <v>4600</v>
      </c>
      <c r="Q18" s="7">
        <v>4300</v>
      </c>
      <c r="R18" s="7">
        <v>4000</v>
      </c>
      <c r="S18" s="7">
        <v>4200</v>
      </c>
      <c r="T18" s="7">
        <v>5200</v>
      </c>
      <c r="U18" s="7">
        <v>5400</v>
      </c>
      <c r="V18" s="7">
        <v>5700</v>
      </c>
      <c r="W18" s="7">
        <v>6100</v>
      </c>
      <c r="X18" s="7">
        <v>6400</v>
      </c>
      <c r="Y18" s="7">
        <v>6500</v>
      </c>
      <c r="Z18" s="7">
        <v>6900</v>
      </c>
      <c r="AA18" s="7">
        <v>8000</v>
      </c>
      <c r="AB18" s="7">
        <v>8300</v>
      </c>
      <c r="AC18" s="7">
        <v>8100</v>
      </c>
      <c r="AD18" s="7">
        <v>8000</v>
      </c>
      <c r="AE18" s="7">
        <v>7800</v>
      </c>
      <c r="AF18" s="7">
        <v>7500</v>
      </c>
      <c r="AG18" s="7">
        <v>7500</v>
      </c>
      <c r="AH18" s="7">
        <v>7200</v>
      </c>
      <c r="AI18" s="7">
        <v>6900</v>
      </c>
    </row>
    <row r="19" spans="1:35" s="3" customFormat="1" ht="24.95" customHeight="1">
      <c r="A19" s="61" t="s">
        <v>50</v>
      </c>
      <c r="B19" s="13" t="s">
        <v>51</v>
      </c>
      <c r="C19" s="7">
        <f t="shared" ref="C19:C37" si="10">D19+0</f>
        <v>5085.92</v>
      </c>
      <c r="D19" s="7">
        <f t="shared" ref="D19:D28" si="11">SUM(E19:AI19)</f>
        <v>5085.92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5">
        <v>0</v>
      </c>
      <c r="M19" s="15">
        <v>0</v>
      </c>
      <c r="N19" s="15">
        <v>0</v>
      </c>
      <c r="O19" s="15">
        <v>0</v>
      </c>
      <c r="P19" s="15">
        <v>0</v>
      </c>
      <c r="Q19" s="15">
        <v>0</v>
      </c>
      <c r="R19" s="15">
        <v>0</v>
      </c>
      <c r="S19" s="28">
        <v>452.86</v>
      </c>
      <c r="T19" s="28">
        <v>400.08</v>
      </c>
      <c r="U19" s="28">
        <v>531.38</v>
      </c>
      <c r="V19" s="15">
        <v>574.02</v>
      </c>
      <c r="W19" s="15">
        <v>581.70000000000005</v>
      </c>
      <c r="X19" s="15">
        <v>540.76</v>
      </c>
      <c r="Y19" s="15">
        <v>509.1</v>
      </c>
      <c r="Z19" s="15">
        <v>523.34</v>
      </c>
      <c r="AA19" s="15">
        <v>493.92</v>
      </c>
      <c r="AB19" s="15">
        <v>478.76</v>
      </c>
      <c r="AC19" s="15">
        <v>0</v>
      </c>
      <c r="AD19" s="15">
        <v>0</v>
      </c>
      <c r="AE19" s="15">
        <v>0</v>
      </c>
      <c r="AF19" s="15">
        <v>0</v>
      </c>
      <c r="AG19" s="15">
        <v>0</v>
      </c>
      <c r="AH19" s="15">
        <v>0</v>
      </c>
      <c r="AI19" s="15">
        <v>0</v>
      </c>
    </row>
    <row r="20" spans="1:35" s="3" customFormat="1" ht="24.95" customHeight="1">
      <c r="A20" s="62"/>
      <c r="B20" s="13" t="s">
        <v>52</v>
      </c>
      <c r="C20" s="7">
        <f t="shared" si="10"/>
        <v>7759.5</v>
      </c>
      <c r="D20" s="7">
        <f t="shared" si="11"/>
        <v>7759.5</v>
      </c>
      <c r="E20" s="15">
        <v>267.94</v>
      </c>
      <c r="F20" s="15">
        <v>257.06</v>
      </c>
      <c r="G20" s="15">
        <v>241.06</v>
      </c>
      <c r="H20" s="15">
        <v>234.96</v>
      </c>
      <c r="I20" s="15">
        <v>247.78</v>
      </c>
      <c r="J20" s="15">
        <v>308.45999999999998</v>
      </c>
      <c r="K20" s="15">
        <v>241.78</v>
      </c>
      <c r="L20" s="15">
        <v>254.24</v>
      </c>
      <c r="M20" s="15">
        <v>202.36</v>
      </c>
      <c r="N20" s="15">
        <v>217.78</v>
      </c>
      <c r="O20" s="15">
        <v>216.2</v>
      </c>
      <c r="P20" s="15">
        <v>240</v>
      </c>
      <c r="Q20" s="15">
        <v>219.12</v>
      </c>
      <c r="R20" s="15">
        <v>252.48</v>
      </c>
      <c r="S20" s="28">
        <v>232.38</v>
      </c>
      <c r="T20" s="28">
        <v>221.56</v>
      </c>
      <c r="U20" s="28">
        <v>215.14</v>
      </c>
      <c r="V20" s="15">
        <v>257.77999999999997</v>
      </c>
      <c r="W20" s="15">
        <v>313.2</v>
      </c>
      <c r="X20" s="15">
        <v>226.78</v>
      </c>
      <c r="Y20" s="15">
        <v>233.28</v>
      </c>
      <c r="Z20" s="15">
        <v>270.32</v>
      </c>
      <c r="AA20" s="15">
        <v>305.94</v>
      </c>
      <c r="AB20" s="15">
        <v>260.18</v>
      </c>
      <c r="AC20" s="15">
        <v>277.18</v>
      </c>
      <c r="AD20" s="15">
        <v>273.76</v>
      </c>
      <c r="AE20" s="15">
        <v>269.88</v>
      </c>
      <c r="AF20" s="15">
        <v>242.1</v>
      </c>
      <c r="AG20" s="15">
        <v>263.22000000000003</v>
      </c>
      <c r="AH20" s="15">
        <v>273.74</v>
      </c>
      <c r="AI20" s="15">
        <v>221.84</v>
      </c>
    </row>
    <row r="21" spans="1:35" s="3" customFormat="1" ht="24.95" customHeight="1">
      <c r="A21" s="62"/>
      <c r="B21" s="13" t="s">
        <v>53</v>
      </c>
      <c r="C21" s="7">
        <f t="shared" si="10"/>
        <v>0</v>
      </c>
      <c r="D21" s="7">
        <f t="shared" si="11"/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5">
        <v>0</v>
      </c>
      <c r="M21" s="15">
        <v>0</v>
      </c>
      <c r="N21" s="15">
        <v>0</v>
      </c>
      <c r="O21" s="15">
        <v>0</v>
      </c>
      <c r="P21" s="15">
        <v>0</v>
      </c>
      <c r="Q21" s="15">
        <v>0</v>
      </c>
      <c r="R21" s="15">
        <v>0</v>
      </c>
      <c r="S21" s="28">
        <v>0</v>
      </c>
      <c r="T21" s="28">
        <v>0</v>
      </c>
      <c r="U21" s="28">
        <v>0</v>
      </c>
      <c r="V21" s="15">
        <v>0</v>
      </c>
      <c r="W21" s="15">
        <v>0</v>
      </c>
      <c r="X21" s="15">
        <v>0</v>
      </c>
      <c r="Y21" s="15">
        <v>0</v>
      </c>
      <c r="Z21" s="15">
        <v>0</v>
      </c>
      <c r="AA21" s="15">
        <v>0</v>
      </c>
      <c r="AB21" s="15">
        <v>0</v>
      </c>
      <c r="AC21" s="15">
        <v>0</v>
      </c>
      <c r="AD21" s="15">
        <v>0</v>
      </c>
      <c r="AE21" s="15">
        <v>0</v>
      </c>
      <c r="AF21" s="15">
        <v>0</v>
      </c>
      <c r="AG21" s="15">
        <v>0</v>
      </c>
      <c r="AH21" s="15">
        <v>0</v>
      </c>
      <c r="AI21" s="15">
        <v>0</v>
      </c>
    </row>
    <row r="22" spans="1:35" s="3" customFormat="1" ht="24.95" customHeight="1">
      <c r="A22" s="62"/>
      <c r="B22" s="13" t="s">
        <v>54</v>
      </c>
      <c r="C22" s="7">
        <f t="shared" si="10"/>
        <v>0</v>
      </c>
      <c r="D22" s="7">
        <f t="shared" si="11"/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15">
        <v>0</v>
      </c>
      <c r="Q22" s="15">
        <v>0</v>
      </c>
      <c r="R22" s="15">
        <v>0</v>
      </c>
      <c r="S22" s="28">
        <v>0</v>
      </c>
      <c r="T22" s="28">
        <v>0</v>
      </c>
      <c r="U22" s="28">
        <v>0</v>
      </c>
      <c r="V22" s="15">
        <v>0</v>
      </c>
      <c r="W22" s="15">
        <v>0</v>
      </c>
      <c r="X22" s="15">
        <v>0</v>
      </c>
      <c r="Y22" s="15">
        <v>0</v>
      </c>
      <c r="Z22" s="15">
        <v>0</v>
      </c>
      <c r="AA22" s="15">
        <v>0</v>
      </c>
      <c r="AB22" s="15">
        <v>0</v>
      </c>
      <c r="AC22" s="15">
        <v>0</v>
      </c>
      <c r="AD22" s="15">
        <v>0</v>
      </c>
      <c r="AE22" s="15">
        <v>0</v>
      </c>
      <c r="AF22" s="15">
        <v>0</v>
      </c>
      <c r="AG22" s="15">
        <v>0</v>
      </c>
      <c r="AH22" s="15">
        <v>0</v>
      </c>
      <c r="AI22" s="15">
        <v>0</v>
      </c>
    </row>
    <row r="23" spans="1:35" s="3" customFormat="1" ht="22.15" customHeight="1">
      <c r="A23" s="62"/>
      <c r="B23" s="13" t="s">
        <v>55</v>
      </c>
      <c r="C23" s="7">
        <f t="shared" si="10"/>
        <v>0</v>
      </c>
      <c r="D23" s="7">
        <f t="shared" si="11"/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5">
        <v>0</v>
      </c>
      <c r="Q23" s="15">
        <v>0</v>
      </c>
      <c r="R23" s="15">
        <v>0</v>
      </c>
      <c r="S23" s="28">
        <v>0</v>
      </c>
      <c r="T23" s="28">
        <v>0</v>
      </c>
      <c r="U23" s="28">
        <v>0</v>
      </c>
      <c r="V23" s="15">
        <v>0</v>
      </c>
      <c r="W23" s="15">
        <v>0</v>
      </c>
      <c r="X23" s="15">
        <v>0</v>
      </c>
      <c r="Y23" s="15">
        <v>0</v>
      </c>
      <c r="Z23" s="15">
        <v>0</v>
      </c>
      <c r="AA23" s="15">
        <v>0</v>
      </c>
      <c r="AB23" s="15">
        <v>0</v>
      </c>
      <c r="AC23" s="15">
        <v>0</v>
      </c>
      <c r="AD23" s="15">
        <v>0</v>
      </c>
      <c r="AE23" s="15">
        <v>0</v>
      </c>
      <c r="AF23" s="15">
        <v>0</v>
      </c>
      <c r="AG23" s="15">
        <v>0</v>
      </c>
      <c r="AH23" s="15">
        <v>0</v>
      </c>
      <c r="AI23" s="15">
        <v>0</v>
      </c>
    </row>
    <row r="24" spans="1:35" s="3" customFormat="1" ht="22.15" customHeight="1">
      <c r="A24" s="62"/>
      <c r="B24" s="13" t="s">
        <v>56</v>
      </c>
      <c r="C24" s="7">
        <f t="shared" si="10"/>
        <v>0</v>
      </c>
      <c r="D24" s="7">
        <f t="shared" si="11"/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5">
        <v>0</v>
      </c>
      <c r="M24" s="15">
        <v>0</v>
      </c>
      <c r="N24" s="15">
        <v>0</v>
      </c>
      <c r="O24" s="15">
        <v>0</v>
      </c>
      <c r="P24" s="15">
        <v>0</v>
      </c>
      <c r="Q24" s="15">
        <v>0</v>
      </c>
      <c r="R24" s="15">
        <v>0</v>
      </c>
      <c r="S24" s="28">
        <v>0</v>
      </c>
      <c r="T24" s="28">
        <v>0</v>
      </c>
      <c r="U24" s="28">
        <v>0</v>
      </c>
      <c r="V24" s="15">
        <v>0</v>
      </c>
      <c r="W24" s="15">
        <v>0</v>
      </c>
      <c r="X24" s="15">
        <v>0</v>
      </c>
      <c r="Y24" s="15">
        <v>0</v>
      </c>
      <c r="Z24" s="15">
        <v>0</v>
      </c>
      <c r="AA24" s="15">
        <v>0</v>
      </c>
      <c r="AB24" s="15">
        <v>0</v>
      </c>
      <c r="AC24" s="15">
        <v>0</v>
      </c>
      <c r="AD24" s="15">
        <v>0</v>
      </c>
      <c r="AE24" s="15">
        <v>0</v>
      </c>
      <c r="AF24" s="15">
        <v>0</v>
      </c>
      <c r="AG24" s="15">
        <v>0</v>
      </c>
      <c r="AH24" s="15">
        <v>0</v>
      </c>
      <c r="AI24" s="15">
        <v>0</v>
      </c>
    </row>
    <row r="25" spans="1:35" s="3" customFormat="1" ht="21.75" customHeight="1">
      <c r="A25" s="62"/>
      <c r="B25" s="13" t="s">
        <v>57</v>
      </c>
      <c r="C25" s="7">
        <f t="shared" si="10"/>
        <v>10196.500000000002</v>
      </c>
      <c r="D25" s="7">
        <f t="shared" si="11"/>
        <v>10196.500000000002</v>
      </c>
      <c r="E25" s="15">
        <v>337.84</v>
      </c>
      <c r="F25" s="15">
        <v>424.98</v>
      </c>
      <c r="G25" s="15">
        <v>385.7</v>
      </c>
      <c r="H25" s="15">
        <v>428.44</v>
      </c>
      <c r="I25" s="15">
        <v>379.04</v>
      </c>
      <c r="J25" s="15">
        <v>310.82</v>
      </c>
      <c r="K25" s="15">
        <v>308.33999999999997</v>
      </c>
      <c r="L25" s="15">
        <v>277.98</v>
      </c>
      <c r="M25" s="15">
        <v>278.3</v>
      </c>
      <c r="N25" s="15">
        <v>263.62</v>
      </c>
      <c r="O25" s="15">
        <v>324.10000000000002</v>
      </c>
      <c r="P25" s="15">
        <v>293.86</v>
      </c>
      <c r="Q25" s="15">
        <v>265.89999999999998</v>
      </c>
      <c r="R25" s="15">
        <v>269.8</v>
      </c>
      <c r="S25" s="28">
        <v>288.52</v>
      </c>
      <c r="T25" s="28">
        <v>404.98</v>
      </c>
      <c r="U25" s="28">
        <v>258.12</v>
      </c>
      <c r="V25" s="15">
        <v>335.94</v>
      </c>
      <c r="W25" s="15">
        <v>333.34</v>
      </c>
      <c r="X25" s="15">
        <v>369.82</v>
      </c>
      <c r="Y25" s="15">
        <v>306.83999999999997</v>
      </c>
      <c r="Z25" s="15">
        <v>429.92</v>
      </c>
      <c r="AA25" s="15">
        <v>399.68</v>
      </c>
      <c r="AB25" s="15">
        <v>306.52</v>
      </c>
      <c r="AC25" s="15">
        <v>314.58</v>
      </c>
      <c r="AD25" s="15">
        <v>387.5</v>
      </c>
      <c r="AE25" s="15">
        <v>371.12</v>
      </c>
      <c r="AF25" s="15">
        <v>248.2</v>
      </c>
      <c r="AG25" s="15">
        <v>475.26</v>
      </c>
      <c r="AH25" s="15">
        <v>174.9</v>
      </c>
      <c r="AI25" s="15">
        <v>242.54</v>
      </c>
    </row>
    <row r="26" spans="1:35" s="3" customFormat="1" ht="18" customHeight="1">
      <c r="A26" s="62"/>
      <c r="B26" s="13" t="s">
        <v>58</v>
      </c>
      <c r="C26" s="7">
        <f t="shared" si="10"/>
        <v>0</v>
      </c>
      <c r="D26" s="7">
        <f t="shared" si="11"/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5">
        <v>0</v>
      </c>
      <c r="M26" s="15">
        <v>0</v>
      </c>
      <c r="N26" s="15">
        <v>0</v>
      </c>
      <c r="O26" s="15">
        <v>0</v>
      </c>
      <c r="P26" s="15">
        <v>0</v>
      </c>
      <c r="Q26" s="15">
        <v>0</v>
      </c>
      <c r="R26" s="15">
        <v>0</v>
      </c>
      <c r="S26" s="15">
        <v>0</v>
      </c>
      <c r="T26" s="28">
        <v>0</v>
      </c>
      <c r="U26" s="28">
        <v>0</v>
      </c>
      <c r="V26" s="15">
        <v>0</v>
      </c>
      <c r="W26" s="15">
        <v>0</v>
      </c>
      <c r="X26" s="15">
        <v>0</v>
      </c>
      <c r="Y26" s="15">
        <v>0</v>
      </c>
      <c r="Z26" s="15">
        <v>0</v>
      </c>
      <c r="AA26" s="15">
        <v>0</v>
      </c>
      <c r="AB26" s="15">
        <v>0</v>
      </c>
      <c r="AC26" s="15">
        <v>0</v>
      </c>
      <c r="AD26" s="15">
        <v>0</v>
      </c>
      <c r="AE26" s="15">
        <v>0</v>
      </c>
      <c r="AF26" s="15">
        <v>0</v>
      </c>
      <c r="AG26" s="15">
        <v>0</v>
      </c>
      <c r="AH26" s="15">
        <v>0</v>
      </c>
      <c r="AI26" s="15">
        <v>0</v>
      </c>
    </row>
    <row r="27" spans="1:35" s="3" customFormat="1" ht="18" customHeight="1">
      <c r="A27" s="62"/>
      <c r="B27" s="16" t="s">
        <v>59</v>
      </c>
      <c r="C27" s="7">
        <f t="shared" si="10"/>
        <v>0</v>
      </c>
      <c r="D27" s="7">
        <f t="shared" si="11"/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5">
        <v>0</v>
      </c>
      <c r="M27" s="15">
        <v>0</v>
      </c>
      <c r="N27" s="15">
        <v>0</v>
      </c>
      <c r="O27" s="15">
        <v>0</v>
      </c>
      <c r="P27" s="15">
        <v>0</v>
      </c>
      <c r="Q27" s="15">
        <v>0</v>
      </c>
      <c r="R27" s="15">
        <v>0</v>
      </c>
      <c r="S27" s="15">
        <v>0</v>
      </c>
      <c r="T27" s="28">
        <v>0</v>
      </c>
      <c r="U27" s="28">
        <v>0</v>
      </c>
      <c r="V27" s="15">
        <v>0</v>
      </c>
      <c r="W27" s="15">
        <v>0</v>
      </c>
      <c r="X27" s="15">
        <v>0</v>
      </c>
      <c r="Y27" s="15">
        <v>0</v>
      </c>
      <c r="Z27" s="15">
        <v>0</v>
      </c>
      <c r="AA27" s="15">
        <v>0</v>
      </c>
      <c r="AB27" s="15">
        <v>0</v>
      </c>
      <c r="AC27" s="15">
        <v>0</v>
      </c>
      <c r="AD27" s="15">
        <v>0</v>
      </c>
      <c r="AE27" s="15">
        <v>0</v>
      </c>
      <c r="AF27" s="15">
        <v>0</v>
      </c>
      <c r="AG27" s="15">
        <v>0</v>
      </c>
      <c r="AH27" s="15">
        <v>0</v>
      </c>
      <c r="AI27" s="15">
        <v>0</v>
      </c>
    </row>
    <row r="28" spans="1:35" s="3" customFormat="1" ht="18" customHeight="1">
      <c r="A28" s="62"/>
      <c r="B28" s="16" t="s">
        <v>60</v>
      </c>
      <c r="C28" s="7">
        <f t="shared" si="10"/>
        <v>0</v>
      </c>
      <c r="D28" s="7">
        <f t="shared" si="11"/>
        <v>0</v>
      </c>
      <c r="E28" s="15">
        <v>0</v>
      </c>
      <c r="F28" s="15">
        <v>0</v>
      </c>
      <c r="G28" s="15">
        <v>0</v>
      </c>
      <c r="H28" s="15">
        <v>0</v>
      </c>
      <c r="I28" s="15">
        <v>0</v>
      </c>
      <c r="J28" s="15">
        <v>0</v>
      </c>
      <c r="K28" s="15">
        <v>0</v>
      </c>
      <c r="L28" s="15">
        <v>0</v>
      </c>
      <c r="M28" s="15">
        <v>0</v>
      </c>
      <c r="N28" s="15">
        <v>0</v>
      </c>
      <c r="O28" s="15">
        <v>0</v>
      </c>
      <c r="P28" s="15">
        <v>0</v>
      </c>
      <c r="Q28" s="15">
        <v>0</v>
      </c>
      <c r="R28" s="15">
        <v>0</v>
      </c>
      <c r="S28" s="15">
        <v>0</v>
      </c>
      <c r="T28" s="28">
        <v>0</v>
      </c>
      <c r="U28" s="28">
        <v>0</v>
      </c>
      <c r="V28" s="15">
        <v>0</v>
      </c>
      <c r="W28" s="15">
        <v>0</v>
      </c>
      <c r="X28" s="15">
        <v>0</v>
      </c>
      <c r="Y28" s="15">
        <v>0</v>
      </c>
      <c r="Z28" s="15">
        <v>0</v>
      </c>
      <c r="AA28" s="15">
        <v>0</v>
      </c>
      <c r="AB28" s="15">
        <v>0</v>
      </c>
      <c r="AC28" s="15">
        <v>0</v>
      </c>
      <c r="AD28" s="15">
        <v>0</v>
      </c>
      <c r="AE28" s="15">
        <v>0</v>
      </c>
      <c r="AF28" s="15">
        <v>0</v>
      </c>
      <c r="AG28" s="15">
        <v>0</v>
      </c>
      <c r="AH28" s="15">
        <v>0</v>
      </c>
      <c r="AI28" s="15">
        <v>0</v>
      </c>
    </row>
    <row r="29" spans="1:35" s="3" customFormat="1" ht="18" hidden="1" customHeight="1">
      <c r="A29" s="63"/>
      <c r="B29" s="16"/>
      <c r="C29" s="7"/>
      <c r="D29" s="7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</row>
    <row r="30" spans="1:35" s="3" customFormat="1" ht="26.1" customHeight="1">
      <c r="A30" s="12"/>
      <c r="B30" s="12" t="s">
        <v>61</v>
      </c>
      <c r="C30" s="7">
        <f>SUM(C19:C29)</f>
        <v>23041.920000000002</v>
      </c>
      <c r="D30" s="7">
        <f>SUM(D19:D29)</f>
        <v>23041.920000000002</v>
      </c>
      <c r="E30" s="7">
        <f>SUM(E19:E29)</f>
        <v>605.78</v>
      </c>
      <c r="F30" s="7">
        <f t="shared" ref="F30:AI30" si="12">SUM(F19:F29)</f>
        <v>682.04</v>
      </c>
      <c r="G30" s="7">
        <f t="shared" si="12"/>
        <v>626.76</v>
      </c>
      <c r="H30" s="7">
        <f t="shared" si="12"/>
        <v>663.4</v>
      </c>
      <c r="I30" s="7">
        <f t="shared" si="12"/>
        <v>626.82000000000005</v>
      </c>
      <c r="J30" s="7">
        <f t="shared" si="12"/>
        <v>619.28</v>
      </c>
      <c r="K30" s="7">
        <f t="shared" si="12"/>
        <v>550.12</v>
      </c>
      <c r="L30" s="7">
        <f t="shared" si="12"/>
        <v>532.22</v>
      </c>
      <c r="M30" s="7">
        <f t="shared" si="12"/>
        <v>480.66</v>
      </c>
      <c r="N30" s="7">
        <f t="shared" si="12"/>
        <v>481.4</v>
      </c>
      <c r="O30" s="7">
        <f t="shared" si="12"/>
        <v>540.29999999999995</v>
      </c>
      <c r="P30" s="7">
        <f t="shared" si="12"/>
        <v>533.86</v>
      </c>
      <c r="Q30" s="7">
        <f t="shared" si="12"/>
        <v>485.02</v>
      </c>
      <c r="R30" s="7">
        <f t="shared" si="12"/>
        <v>522.28</v>
      </c>
      <c r="S30" s="7">
        <f t="shared" si="12"/>
        <v>973.76</v>
      </c>
      <c r="T30" s="7">
        <f t="shared" si="12"/>
        <v>1026.6199999999999</v>
      </c>
      <c r="U30" s="7">
        <f t="shared" si="12"/>
        <v>1004.64</v>
      </c>
      <c r="V30" s="7">
        <f t="shared" si="12"/>
        <v>1167.74</v>
      </c>
      <c r="W30" s="7">
        <f t="shared" si="12"/>
        <v>1228.24</v>
      </c>
      <c r="X30" s="7">
        <f t="shared" si="12"/>
        <v>1137.3599999999999</v>
      </c>
      <c r="Y30" s="7">
        <f t="shared" si="12"/>
        <v>1049.22</v>
      </c>
      <c r="Z30" s="7">
        <f t="shared" si="12"/>
        <v>1223.5800000000002</v>
      </c>
      <c r="AA30" s="7">
        <f t="shared" si="12"/>
        <v>1199.54</v>
      </c>
      <c r="AB30" s="7">
        <f t="shared" si="12"/>
        <v>1045.46</v>
      </c>
      <c r="AC30" s="7">
        <f t="shared" si="12"/>
        <v>591.76</v>
      </c>
      <c r="AD30" s="7">
        <f t="shared" si="12"/>
        <v>661.26</v>
      </c>
      <c r="AE30" s="7">
        <f t="shared" si="12"/>
        <v>641</v>
      </c>
      <c r="AF30" s="7">
        <f t="shared" si="12"/>
        <v>490.29999999999995</v>
      </c>
      <c r="AG30" s="7">
        <f t="shared" si="12"/>
        <v>738.48</v>
      </c>
      <c r="AH30" s="7">
        <f t="shared" si="12"/>
        <v>448.64</v>
      </c>
      <c r="AI30" s="7">
        <f t="shared" si="12"/>
        <v>464.38</v>
      </c>
    </row>
    <row r="31" spans="1:35" s="3" customFormat="1" ht="24.95" customHeight="1">
      <c r="A31" s="57" t="s">
        <v>62</v>
      </c>
      <c r="B31" s="7" t="s">
        <v>63</v>
      </c>
      <c r="C31" s="7">
        <f t="shared" si="10"/>
        <v>4819.0999999999995</v>
      </c>
      <c r="D31" s="7">
        <f t="shared" ref="D31:D37" si="13">SUM(E31:AI31)</f>
        <v>4819.0999999999995</v>
      </c>
      <c r="E31" s="7">
        <v>182.86</v>
      </c>
      <c r="F31" s="7">
        <v>157.34</v>
      </c>
      <c r="G31" s="7">
        <v>143.08000000000001</v>
      </c>
      <c r="H31" s="29">
        <v>125.76</v>
      </c>
      <c r="I31" s="7">
        <v>167.68</v>
      </c>
      <c r="J31" s="7">
        <v>225.34</v>
      </c>
      <c r="K31" s="7">
        <v>131.02000000000001</v>
      </c>
      <c r="L31" s="7">
        <v>116.98</v>
      </c>
      <c r="M31" s="7">
        <v>182.68</v>
      </c>
      <c r="N31" s="7">
        <v>175.9</v>
      </c>
      <c r="O31" s="7">
        <v>196</v>
      </c>
      <c r="P31" s="7">
        <v>170.76</v>
      </c>
      <c r="Q31" s="7">
        <v>185.44</v>
      </c>
      <c r="R31" s="7">
        <v>146.88</v>
      </c>
      <c r="S31" s="7">
        <v>164.46</v>
      </c>
      <c r="T31" s="7">
        <v>175.86</v>
      </c>
      <c r="U31" s="29">
        <v>154.54</v>
      </c>
      <c r="V31" s="7">
        <v>167.86</v>
      </c>
      <c r="W31" s="7">
        <v>108.26</v>
      </c>
      <c r="X31" s="7">
        <v>171.02</v>
      </c>
      <c r="Y31" s="7">
        <v>132.96</v>
      </c>
      <c r="Z31" s="7">
        <v>173.38</v>
      </c>
      <c r="AA31" s="7">
        <v>131.88</v>
      </c>
      <c r="AB31" s="29">
        <v>148.02000000000001</v>
      </c>
      <c r="AC31" s="29">
        <v>128.78</v>
      </c>
      <c r="AD31" s="29">
        <v>120.18</v>
      </c>
      <c r="AE31" s="29">
        <v>138.36000000000001</v>
      </c>
      <c r="AF31" s="29">
        <v>162.32</v>
      </c>
      <c r="AG31" s="29">
        <v>144.28</v>
      </c>
      <c r="AH31" s="29">
        <v>147.28</v>
      </c>
      <c r="AI31" s="7">
        <v>141.94</v>
      </c>
    </row>
    <row r="32" spans="1:35" s="3" customFormat="1" ht="24.95" customHeight="1">
      <c r="A32" s="57"/>
      <c r="B32" s="7" t="s">
        <v>64</v>
      </c>
      <c r="C32" s="7">
        <f t="shared" si="10"/>
        <v>575.74000000000012</v>
      </c>
      <c r="D32" s="7">
        <f t="shared" si="13"/>
        <v>575.74000000000012</v>
      </c>
      <c r="E32" s="7">
        <v>0</v>
      </c>
      <c r="F32" s="7">
        <v>11.34</v>
      </c>
      <c r="G32" s="7">
        <v>0</v>
      </c>
      <c r="H32" s="20">
        <v>23.56</v>
      </c>
      <c r="I32" s="7">
        <v>11.24</v>
      </c>
      <c r="J32" s="7">
        <v>0</v>
      </c>
      <c r="K32" s="7">
        <v>0</v>
      </c>
      <c r="L32" s="7">
        <v>12.08</v>
      </c>
      <c r="M32" s="7">
        <v>36.700000000000003</v>
      </c>
      <c r="N32" s="7">
        <v>11.88</v>
      </c>
      <c r="O32" s="7">
        <v>10.96</v>
      </c>
      <c r="P32" s="7">
        <v>12.28</v>
      </c>
      <c r="Q32" s="7">
        <v>32.340000000000003</v>
      </c>
      <c r="R32" s="7">
        <v>27.32</v>
      </c>
      <c r="S32" s="7">
        <v>29.12</v>
      </c>
      <c r="T32" s="7">
        <v>0</v>
      </c>
      <c r="U32" s="7">
        <v>33.96</v>
      </c>
      <c r="V32" s="7">
        <v>42.78</v>
      </c>
      <c r="W32" s="7">
        <v>20.02</v>
      </c>
      <c r="X32" s="7">
        <v>31.04</v>
      </c>
      <c r="Y32" s="7">
        <v>21.6</v>
      </c>
      <c r="Z32" s="7">
        <v>20.48</v>
      </c>
      <c r="AA32" s="7">
        <v>18.98</v>
      </c>
      <c r="AB32" s="20">
        <v>20.04</v>
      </c>
      <c r="AC32" s="20">
        <v>11.18</v>
      </c>
      <c r="AD32" s="20">
        <v>19.12</v>
      </c>
      <c r="AE32" s="20">
        <v>38.24</v>
      </c>
      <c r="AF32" s="20">
        <v>15.42</v>
      </c>
      <c r="AG32" s="20">
        <v>20.78</v>
      </c>
      <c r="AH32" s="20">
        <v>21.04</v>
      </c>
      <c r="AI32" s="7">
        <v>22.24</v>
      </c>
    </row>
    <row r="33" spans="1:35" s="3" customFormat="1" ht="24.95" customHeight="1">
      <c r="A33" s="57"/>
      <c r="B33" s="6" t="s">
        <v>65</v>
      </c>
      <c r="C33" s="7">
        <f t="shared" si="10"/>
        <v>624</v>
      </c>
      <c r="D33" s="7">
        <f t="shared" si="13"/>
        <v>624</v>
      </c>
      <c r="E33" s="7">
        <v>139</v>
      </c>
      <c r="F33" s="7">
        <v>0</v>
      </c>
      <c r="G33" s="7">
        <v>0</v>
      </c>
      <c r="H33" s="7">
        <v>0</v>
      </c>
      <c r="I33" s="7">
        <v>0</v>
      </c>
      <c r="J33" s="7">
        <v>4</v>
      </c>
      <c r="K33" s="7">
        <v>144</v>
      </c>
      <c r="L33" s="7">
        <v>0</v>
      </c>
      <c r="M33" s="7">
        <v>0</v>
      </c>
      <c r="N33" s="7">
        <v>0</v>
      </c>
      <c r="O33" s="7">
        <v>0</v>
      </c>
      <c r="P33" s="7">
        <v>27</v>
      </c>
      <c r="Q33" s="7">
        <v>44</v>
      </c>
      <c r="R33" s="7">
        <v>36</v>
      </c>
      <c r="S33" s="7">
        <v>10</v>
      </c>
      <c r="T33" s="7">
        <v>0</v>
      </c>
      <c r="U33" s="7">
        <v>0</v>
      </c>
      <c r="V33" s="7">
        <v>55</v>
      </c>
      <c r="W33" s="7">
        <v>29</v>
      </c>
      <c r="X33" s="7">
        <v>0</v>
      </c>
      <c r="Y33" s="7">
        <v>87</v>
      </c>
      <c r="Z33" s="7">
        <v>0</v>
      </c>
      <c r="AA33" s="7">
        <v>49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</row>
    <row r="34" spans="1:35" s="3" customFormat="1" ht="24.95" customHeight="1">
      <c r="A34" s="57"/>
      <c r="B34" s="7" t="s">
        <v>66</v>
      </c>
      <c r="C34" s="7">
        <f t="shared" si="10"/>
        <v>5970</v>
      </c>
      <c r="D34" s="7">
        <f t="shared" si="13"/>
        <v>5970</v>
      </c>
      <c r="E34" s="7">
        <v>240</v>
      </c>
      <c r="F34" s="7">
        <v>282</v>
      </c>
      <c r="G34" s="7">
        <v>228</v>
      </c>
      <c r="H34" s="7">
        <v>155</v>
      </c>
      <c r="I34" s="7">
        <v>253</v>
      </c>
      <c r="J34" s="7">
        <v>233</v>
      </c>
      <c r="K34" s="7">
        <v>250</v>
      </c>
      <c r="L34" s="7">
        <v>269</v>
      </c>
      <c r="M34" s="7">
        <v>223</v>
      </c>
      <c r="N34" s="7">
        <v>269</v>
      </c>
      <c r="O34" s="7">
        <v>281</v>
      </c>
      <c r="P34" s="7">
        <v>177</v>
      </c>
      <c r="Q34" s="7">
        <v>159</v>
      </c>
      <c r="R34" s="7">
        <v>169</v>
      </c>
      <c r="S34" s="7">
        <v>102</v>
      </c>
      <c r="T34" s="7">
        <v>188</v>
      </c>
      <c r="U34" s="7">
        <v>161</v>
      </c>
      <c r="V34" s="7">
        <v>118</v>
      </c>
      <c r="W34" s="7">
        <v>84</v>
      </c>
      <c r="X34" s="7">
        <v>169</v>
      </c>
      <c r="Y34" s="7">
        <v>186</v>
      </c>
      <c r="Z34" s="7">
        <v>186</v>
      </c>
      <c r="AA34" s="7">
        <v>160</v>
      </c>
      <c r="AB34" s="7">
        <v>173</v>
      </c>
      <c r="AC34" s="7">
        <v>185</v>
      </c>
      <c r="AD34" s="7">
        <v>175</v>
      </c>
      <c r="AE34" s="7">
        <v>180</v>
      </c>
      <c r="AF34" s="7">
        <v>181</v>
      </c>
      <c r="AG34" s="7">
        <v>191</v>
      </c>
      <c r="AH34" s="7">
        <v>170</v>
      </c>
      <c r="AI34" s="7">
        <v>173</v>
      </c>
    </row>
    <row r="35" spans="1:35" s="3" customFormat="1" ht="24.95" customHeight="1">
      <c r="A35" s="58" t="s">
        <v>67</v>
      </c>
      <c r="B35" s="7" t="s">
        <v>68</v>
      </c>
      <c r="C35" s="7">
        <f t="shared" si="10"/>
        <v>55.675000000000004</v>
      </c>
      <c r="D35" s="7">
        <f t="shared" si="13"/>
        <v>55.675000000000004</v>
      </c>
      <c r="E35" s="46">
        <v>1.76</v>
      </c>
      <c r="F35" s="46">
        <v>1.728</v>
      </c>
      <c r="G35" s="46">
        <v>1.7869999999999999</v>
      </c>
      <c r="H35" s="47">
        <v>1.8120000000000001</v>
      </c>
      <c r="I35" s="47">
        <v>1.8580000000000001</v>
      </c>
      <c r="J35" s="47">
        <v>1.87</v>
      </c>
      <c r="K35" s="47">
        <v>1.825</v>
      </c>
      <c r="L35" s="47">
        <v>1.843</v>
      </c>
      <c r="M35" s="47">
        <v>2.0049999999999999</v>
      </c>
      <c r="N35" s="47">
        <v>1.968</v>
      </c>
      <c r="O35" s="47">
        <v>1.8460000000000001</v>
      </c>
      <c r="P35" s="47">
        <v>1.736</v>
      </c>
      <c r="Q35" s="47">
        <v>1.736</v>
      </c>
      <c r="R35" s="47">
        <v>1.7809999999999999</v>
      </c>
      <c r="S35" s="47">
        <v>1.681</v>
      </c>
      <c r="T35" s="51">
        <v>1.6559999999999999</v>
      </c>
      <c r="U35" s="47">
        <v>1.7709999999999999</v>
      </c>
      <c r="V35" s="47">
        <v>1.835</v>
      </c>
      <c r="W35" s="47">
        <v>1.752</v>
      </c>
      <c r="X35" s="47">
        <v>1.728</v>
      </c>
      <c r="Y35" s="47">
        <v>1.7030000000000001</v>
      </c>
      <c r="Z35" s="47">
        <v>1.802</v>
      </c>
      <c r="AA35" s="47">
        <v>1.8420000000000001</v>
      </c>
      <c r="AB35" s="47">
        <v>1.81</v>
      </c>
      <c r="AC35" s="47">
        <v>1.7350000000000001</v>
      </c>
      <c r="AD35" s="47">
        <v>1.829</v>
      </c>
      <c r="AE35" s="47">
        <v>1.806</v>
      </c>
      <c r="AF35" s="50">
        <v>1.7649999999999999</v>
      </c>
      <c r="AG35" s="47">
        <v>1.8149999999999999</v>
      </c>
      <c r="AH35" s="47">
        <v>1.774</v>
      </c>
      <c r="AI35" s="47">
        <v>1.8160000000000001</v>
      </c>
    </row>
    <row r="36" spans="1:35" s="3" customFormat="1" ht="24.95" customHeight="1">
      <c r="A36" s="59"/>
      <c r="B36" s="7" t="s">
        <v>69</v>
      </c>
      <c r="C36" s="7">
        <f t="shared" si="10"/>
        <v>186.25299999999999</v>
      </c>
      <c r="D36" s="7">
        <f t="shared" si="13"/>
        <v>186.25299999999999</v>
      </c>
      <c r="E36" s="48">
        <v>6</v>
      </c>
      <c r="F36" s="48">
        <v>6</v>
      </c>
      <c r="G36" s="48">
        <v>6</v>
      </c>
      <c r="H36" s="48">
        <v>6</v>
      </c>
      <c r="I36" s="48">
        <v>6</v>
      </c>
      <c r="J36" s="48">
        <v>6</v>
      </c>
      <c r="K36" s="48">
        <v>6.2530000000000001</v>
      </c>
      <c r="L36" s="48">
        <v>6</v>
      </c>
      <c r="M36" s="48">
        <v>6</v>
      </c>
      <c r="N36" s="48">
        <v>6</v>
      </c>
      <c r="O36" s="48">
        <v>6</v>
      </c>
      <c r="P36" s="48">
        <v>6</v>
      </c>
      <c r="Q36" s="48">
        <v>6</v>
      </c>
      <c r="R36" s="48">
        <v>6</v>
      </c>
      <c r="S36" s="48">
        <v>6</v>
      </c>
      <c r="T36" s="48">
        <v>6</v>
      </c>
      <c r="U36" s="48">
        <v>6</v>
      </c>
      <c r="V36" s="48">
        <v>6</v>
      </c>
      <c r="W36" s="48">
        <v>6</v>
      </c>
      <c r="X36" s="48">
        <v>6</v>
      </c>
      <c r="Y36" s="48">
        <v>6</v>
      </c>
      <c r="Z36" s="48">
        <v>6</v>
      </c>
      <c r="AA36" s="48">
        <v>6</v>
      </c>
      <c r="AB36" s="48">
        <v>6</v>
      </c>
      <c r="AC36" s="48">
        <v>6</v>
      </c>
      <c r="AD36" s="48">
        <v>6</v>
      </c>
      <c r="AE36" s="48">
        <v>6</v>
      </c>
      <c r="AF36" s="48">
        <v>6</v>
      </c>
      <c r="AG36" s="48">
        <v>6</v>
      </c>
      <c r="AH36" s="48">
        <v>6</v>
      </c>
      <c r="AI36" s="48">
        <v>6</v>
      </c>
    </row>
    <row r="37" spans="1:35" s="3" customFormat="1" ht="24.95" customHeight="1">
      <c r="A37" s="60"/>
      <c r="B37" s="7" t="s">
        <v>70</v>
      </c>
      <c r="C37" s="7">
        <f t="shared" si="10"/>
        <v>9.234</v>
      </c>
      <c r="D37" s="7">
        <f t="shared" si="13"/>
        <v>9.234</v>
      </c>
      <c r="E37" s="7">
        <v>0.3</v>
      </c>
      <c r="F37" s="7">
        <v>0.3</v>
      </c>
      <c r="G37" s="7">
        <v>0.3</v>
      </c>
      <c r="H37" s="7">
        <v>0.3</v>
      </c>
      <c r="I37" s="7">
        <v>0.3</v>
      </c>
      <c r="J37" s="7">
        <v>0.3</v>
      </c>
      <c r="K37" s="7">
        <v>0.23400000000000001</v>
      </c>
      <c r="L37" s="7">
        <v>0.3</v>
      </c>
      <c r="M37" s="7">
        <v>0.3</v>
      </c>
      <c r="N37" s="7">
        <v>0.3</v>
      </c>
      <c r="O37" s="7">
        <v>0.3</v>
      </c>
      <c r="P37" s="7">
        <v>0.3</v>
      </c>
      <c r="Q37" s="7">
        <v>0.3</v>
      </c>
      <c r="R37" s="7">
        <v>0.3</v>
      </c>
      <c r="S37" s="7">
        <v>0.3</v>
      </c>
      <c r="T37" s="7">
        <v>0.3</v>
      </c>
      <c r="U37" s="7">
        <v>0.3</v>
      </c>
      <c r="V37" s="7">
        <v>0.3</v>
      </c>
      <c r="W37" s="7">
        <v>0.3</v>
      </c>
      <c r="X37" s="7">
        <v>0.3</v>
      </c>
      <c r="Y37" s="7">
        <v>0.3</v>
      </c>
      <c r="Z37" s="7">
        <v>0.3</v>
      </c>
      <c r="AA37" s="7">
        <v>0.3</v>
      </c>
      <c r="AB37" s="7">
        <v>0.3</v>
      </c>
      <c r="AC37" s="7">
        <v>0.3</v>
      </c>
      <c r="AD37" s="7">
        <v>0.3</v>
      </c>
      <c r="AE37" s="7">
        <v>0.3</v>
      </c>
      <c r="AF37" s="7">
        <v>0.3</v>
      </c>
      <c r="AG37" s="7">
        <v>0.3</v>
      </c>
      <c r="AH37" s="7">
        <v>0.3</v>
      </c>
      <c r="AI37" s="7">
        <v>0.3</v>
      </c>
    </row>
    <row r="38" spans="1:35" s="1" customFormat="1" ht="18" customHeight="1">
      <c r="B38" s="22" t="s">
        <v>71</v>
      </c>
      <c r="C38" s="23">
        <f>C31/C5</f>
        <v>0.20255723730943659</v>
      </c>
      <c r="D38" s="23">
        <f>D31/D5</f>
        <v>0.20255723730943659</v>
      </c>
      <c r="G38" s="24"/>
    </row>
    <row r="39" spans="1:35" s="1" customFormat="1" ht="18" customHeight="1">
      <c r="B39" s="22" t="s">
        <v>72</v>
      </c>
      <c r="C39" s="23">
        <f>C32/C5</f>
        <v>2.4199602375658331E-2</v>
      </c>
      <c r="D39" s="23">
        <f>D32/D5</f>
        <v>2.4199602375658331E-2</v>
      </c>
      <c r="G39" s="24"/>
    </row>
    <row r="40" spans="1:35" s="1" customFormat="1" ht="18" customHeight="1">
      <c r="B40" s="22" t="s">
        <v>73</v>
      </c>
      <c r="C40" s="23">
        <f>C33/C5</f>
        <v>2.6228074968580949E-2</v>
      </c>
      <c r="D40" s="23">
        <f>D33/D5</f>
        <v>2.6228074968580949E-2</v>
      </c>
      <c r="G40" s="24"/>
    </row>
    <row r="41" spans="1:35">
      <c r="G41" s="25"/>
    </row>
    <row r="42" spans="1:35">
      <c r="G42" s="25"/>
    </row>
    <row r="43" spans="1:35">
      <c r="G43" s="25"/>
    </row>
    <row r="44" spans="1:35">
      <c r="G44" s="25"/>
    </row>
    <row r="45" spans="1:35">
      <c r="G45" s="25"/>
    </row>
    <row r="46" spans="1:35">
      <c r="G46" s="25"/>
    </row>
    <row r="47" spans="1:35">
      <c r="G47" s="25"/>
    </row>
    <row r="48" spans="1:35">
      <c r="G48" s="25"/>
    </row>
    <row r="49" spans="7:7">
      <c r="G49" s="25"/>
    </row>
    <row r="50" spans="7:7">
      <c r="G50" s="25"/>
    </row>
    <row r="51" spans="7:7">
      <c r="G51" s="25"/>
    </row>
    <row r="52" spans="7:7">
      <c r="G52" s="25"/>
    </row>
    <row r="53" spans="7:7">
      <c r="G53" s="25"/>
    </row>
    <row r="54" spans="7:7">
      <c r="G54" s="25"/>
    </row>
    <row r="55" spans="7:7">
      <c r="G55" s="25"/>
    </row>
    <row r="56" spans="7:7">
      <c r="G56" s="25"/>
    </row>
    <row r="57" spans="7:7">
      <c r="G57" s="25"/>
    </row>
    <row r="58" spans="7:7">
      <c r="G58" s="25"/>
    </row>
    <row r="59" spans="7:7">
      <c r="G59" s="25"/>
    </row>
    <row r="60" spans="7:7">
      <c r="G60" s="25"/>
    </row>
    <row r="61" spans="7:7">
      <c r="G61" s="25"/>
    </row>
    <row r="62" spans="7:7">
      <c r="G62" s="25"/>
    </row>
    <row r="63" spans="7:7">
      <c r="G63" s="25"/>
    </row>
  </sheetData>
  <mergeCells count="10">
    <mergeCell ref="A35:A37"/>
    <mergeCell ref="A13:A15"/>
    <mergeCell ref="A16:A17"/>
    <mergeCell ref="A19:A29"/>
    <mergeCell ref="A31:A34"/>
    <mergeCell ref="A1:B1"/>
    <mergeCell ref="C1:AI1"/>
    <mergeCell ref="A3:A5"/>
    <mergeCell ref="A6:A8"/>
    <mergeCell ref="A9:A12"/>
  </mergeCells>
  <phoneticPr fontId="12" type="noConversion"/>
  <pageMargins left="0.69930555555555596" right="0.69930555555555596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63"/>
  <sheetViews>
    <sheetView zoomScale="160" zoomScaleNormal="160" workbookViewId="0">
      <pane xSplit="4" topLeftCell="E1" activePane="topRight" state="frozen"/>
      <selection pane="topRight" activeCell="E40" sqref="E40"/>
    </sheetView>
  </sheetViews>
  <sheetFormatPr defaultColWidth="9" defaultRowHeight="13.5"/>
  <cols>
    <col min="1" max="1" width="8.75" style="4" customWidth="1"/>
    <col min="2" max="2" width="13.625" style="4" customWidth="1"/>
    <col min="3" max="3" width="13.25" style="4" customWidth="1"/>
    <col min="4" max="4" width="10.5" style="4" customWidth="1"/>
    <col min="5" max="6" width="9" style="4"/>
    <col min="7" max="12" width="9" style="4" customWidth="1"/>
    <col min="13" max="13" width="10.875" style="4" customWidth="1"/>
    <col min="14" max="16" width="9" style="4" customWidth="1"/>
    <col min="17" max="17" width="11" style="4" customWidth="1"/>
    <col min="18" max="31" width="9" style="4" customWidth="1"/>
    <col min="32" max="32" width="9" style="4"/>
    <col min="33" max="33" width="9" style="4" customWidth="1"/>
    <col min="34" max="34" width="8.375" style="4" customWidth="1"/>
    <col min="35" max="35" width="9" style="4" customWidth="1"/>
    <col min="36" max="16384" width="9" style="4"/>
  </cols>
  <sheetData>
    <row r="1" spans="1:35" s="1" customFormat="1" ht="42.75" customHeight="1">
      <c r="A1" s="53">
        <v>44470</v>
      </c>
      <c r="B1" s="54"/>
      <c r="C1" s="55" t="s">
        <v>0</v>
      </c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55"/>
      <c r="X1" s="55"/>
      <c r="Y1" s="55"/>
      <c r="Z1" s="55"/>
      <c r="AA1" s="55"/>
      <c r="AB1" s="55"/>
      <c r="AC1" s="55"/>
      <c r="AD1" s="55"/>
      <c r="AE1" s="55"/>
      <c r="AF1" s="55"/>
      <c r="AG1" s="55"/>
      <c r="AH1" s="55"/>
      <c r="AI1" s="55"/>
    </row>
    <row r="2" spans="1:35" s="2" customFormat="1" ht="24.95" customHeight="1">
      <c r="A2" s="5"/>
      <c r="B2" s="5" t="s">
        <v>1</v>
      </c>
      <c r="C2" s="5" t="s">
        <v>2</v>
      </c>
      <c r="D2" s="5" t="s">
        <v>3</v>
      </c>
      <c r="E2" s="5" t="s">
        <v>4</v>
      </c>
      <c r="F2" s="5" t="s">
        <v>5</v>
      </c>
      <c r="G2" s="5" t="s">
        <v>6</v>
      </c>
      <c r="H2" s="5" t="s">
        <v>7</v>
      </c>
      <c r="I2" s="5" t="s">
        <v>8</v>
      </c>
      <c r="J2" s="5" t="s">
        <v>9</v>
      </c>
      <c r="K2" s="5" t="s">
        <v>10</v>
      </c>
      <c r="L2" s="5" t="s">
        <v>11</v>
      </c>
      <c r="M2" s="5" t="s">
        <v>12</v>
      </c>
      <c r="N2" s="5" t="s">
        <v>13</v>
      </c>
      <c r="O2" s="5" t="s">
        <v>14</v>
      </c>
      <c r="P2" s="5" t="s">
        <v>15</v>
      </c>
      <c r="Q2" s="5" t="s">
        <v>16</v>
      </c>
      <c r="R2" s="5" t="s">
        <v>17</v>
      </c>
      <c r="S2" s="5" t="s">
        <v>18</v>
      </c>
      <c r="T2" s="5" t="s">
        <v>19</v>
      </c>
      <c r="U2" s="5" t="s">
        <v>20</v>
      </c>
      <c r="V2" s="5" t="s">
        <v>21</v>
      </c>
      <c r="W2" s="5" t="s">
        <v>22</v>
      </c>
      <c r="X2" s="5" t="s">
        <v>23</v>
      </c>
      <c r="Y2" s="5" t="s">
        <v>24</v>
      </c>
      <c r="Z2" s="5" t="s">
        <v>25</v>
      </c>
      <c r="AA2" s="5" t="s">
        <v>26</v>
      </c>
      <c r="AB2" s="5" t="s">
        <v>27</v>
      </c>
      <c r="AC2" s="5" t="s">
        <v>28</v>
      </c>
      <c r="AD2" s="5" t="s">
        <v>29</v>
      </c>
      <c r="AE2" s="5" t="s">
        <v>30</v>
      </c>
      <c r="AF2" s="5" t="s">
        <v>31</v>
      </c>
      <c r="AG2" s="5" t="s">
        <v>32</v>
      </c>
      <c r="AH2" s="5" t="s">
        <v>33</v>
      </c>
      <c r="AI2" s="5" t="s">
        <v>34</v>
      </c>
    </row>
    <row r="3" spans="1:35" s="3" customFormat="1" ht="25.5" customHeight="1">
      <c r="A3" s="56" t="s">
        <v>35</v>
      </c>
      <c r="B3" s="7" t="s">
        <v>36</v>
      </c>
      <c r="C3" s="7">
        <f>D3+'9月'!C3</f>
        <v>101310.59999999998</v>
      </c>
      <c r="D3" s="7">
        <f>SUM(E3:AI3)</f>
        <v>6870.9999999999982</v>
      </c>
      <c r="E3" s="7">
        <v>366.5</v>
      </c>
      <c r="F3" s="7">
        <v>361.9</v>
      </c>
      <c r="G3" s="7">
        <v>368.6</v>
      </c>
      <c r="H3" s="7">
        <v>400.5</v>
      </c>
      <c r="I3" s="7">
        <v>378.5</v>
      </c>
      <c r="J3" s="7">
        <v>354.6</v>
      </c>
      <c r="K3" s="7">
        <v>348.8</v>
      </c>
      <c r="L3" s="7">
        <v>375</v>
      </c>
      <c r="M3" s="7">
        <v>349.7</v>
      </c>
      <c r="N3" s="7">
        <v>381.1</v>
      </c>
      <c r="O3" s="7">
        <v>390</v>
      </c>
      <c r="P3" s="7">
        <v>385.2</v>
      </c>
      <c r="Q3" s="7">
        <v>358.2</v>
      </c>
      <c r="R3" s="7">
        <v>348.4</v>
      </c>
      <c r="S3" s="7">
        <v>357.8</v>
      </c>
      <c r="T3" s="7">
        <v>351.7</v>
      </c>
      <c r="U3" s="7">
        <v>384.7</v>
      </c>
      <c r="V3" s="7">
        <v>369.7</v>
      </c>
      <c r="W3" s="7">
        <v>101.9</v>
      </c>
      <c r="X3" s="7">
        <v>0</v>
      </c>
      <c r="Y3" s="7">
        <v>0</v>
      </c>
      <c r="Z3" s="7">
        <v>0</v>
      </c>
      <c r="AA3" s="7">
        <v>0</v>
      </c>
      <c r="AB3" s="7">
        <v>0</v>
      </c>
      <c r="AC3" s="7">
        <v>0</v>
      </c>
      <c r="AD3" s="7">
        <v>0</v>
      </c>
      <c r="AE3" s="7">
        <v>0</v>
      </c>
      <c r="AF3" s="7">
        <v>0</v>
      </c>
      <c r="AG3" s="7">
        <v>0</v>
      </c>
      <c r="AH3" s="7">
        <v>0</v>
      </c>
      <c r="AI3" s="30">
        <v>138.19999999999999</v>
      </c>
    </row>
    <row r="4" spans="1:35" s="3" customFormat="1" ht="26.25" customHeight="1">
      <c r="A4" s="56"/>
      <c r="B4" s="7" t="s">
        <v>37</v>
      </c>
      <c r="C4" s="7">
        <f>D4+'9月'!C4</f>
        <v>116972.70000000001</v>
      </c>
      <c r="D4" s="7">
        <f t="shared" ref="D4:D9" si="0">SUM(E4:AI4)</f>
        <v>9660.4999999999982</v>
      </c>
      <c r="E4" s="7">
        <v>386.3</v>
      </c>
      <c r="F4" s="7">
        <v>407.4</v>
      </c>
      <c r="G4" s="7">
        <v>388.2</v>
      </c>
      <c r="H4" s="7">
        <v>413.7</v>
      </c>
      <c r="I4" s="7">
        <v>386.2</v>
      </c>
      <c r="J4" s="7">
        <v>385.7</v>
      </c>
      <c r="K4" s="7">
        <v>386.8</v>
      </c>
      <c r="L4" s="7">
        <v>397.6</v>
      </c>
      <c r="M4" s="7">
        <v>397.8</v>
      </c>
      <c r="N4" s="7">
        <v>405.1</v>
      </c>
      <c r="O4" s="7">
        <v>424.9</v>
      </c>
      <c r="P4" s="7">
        <v>411.3</v>
      </c>
      <c r="Q4" s="7">
        <v>431.5</v>
      </c>
      <c r="R4" s="7">
        <v>410.4</v>
      </c>
      <c r="S4" s="7">
        <v>383.3</v>
      </c>
      <c r="T4" s="7">
        <v>406.5</v>
      </c>
      <c r="U4" s="7">
        <v>415.8</v>
      </c>
      <c r="V4" s="7">
        <v>408.9</v>
      </c>
      <c r="W4" s="7">
        <v>426</v>
      </c>
      <c r="X4" s="7">
        <v>208.2</v>
      </c>
      <c r="Y4" s="7">
        <v>355.4</v>
      </c>
      <c r="Z4" s="7">
        <v>273.3</v>
      </c>
      <c r="AA4" s="7">
        <v>328.4</v>
      </c>
      <c r="AB4" s="7">
        <v>318.10000000000002</v>
      </c>
      <c r="AC4" s="7">
        <v>315.39999999999998</v>
      </c>
      <c r="AD4" s="7">
        <v>188.3</v>
      </c>
      <c r="AE4" s="7">
        <v>0</v>
      </c>
      <c r="AF4" s="7">
        <v>0</v>
      </c>
      <c r="AG4" s="7">
        <v>0</v>
      </c>
      <c r="AH4" s="30">
        <v>0</v>
      </c>
      <c r="AI4" s="7">
        <v>0</v>
      </c>
    </row>
    <row r="5" spans="1:35" s="3" customFormat="1" ht="24.95" customHeight="1">
      <c r="A5" s="56"/>
      <c r="B5" s="7" t="s">
        <v>38</v>
      </c>
      <c r="C5" s="7">
        <f>D5+'9月'!C5</f>
        <v>218283.30000000002</v>
      </c>
      <c r="D5" s="7">
        <f t="shared" si="0"/>
        <v>16531.5</v>
      </c>
      <c r="E5" s="7">
        <f>E3+E4</f>
        <v>752.8</v>
      </c>
      <c r="F5" s="7">
        <f t="shared" ref="F5:AI5" si="1">F3+F4</f>
        <v>769.3</v>
      </c>
      <c r="G5" s="7">
        <f t="shared" si="1"/>
        <v>756.8</v>
      </c>
      <c r="H5" s="7">
        <f t="shared" si="1"/>
        <v>814.2</v>
      </c>
      <c r="I5" s="7">
        <f t="shared" si="1"/>
        <v>764.7</v>
      </c>
      <c r="J5" s="7">
        <f t="shared" si="1"/>
        <v>740.3</v>
      </c>
      <c r="K5" s="7">
        <f t="shared" si="1"/>
        <v>735.6</v>
      </c>
      <c r="L5" s="7">
        <f t="shared" si="1"/>
        <v>772.6</v>
      </c>
      <c r="M5" s="7">
        <f t="shared" si="1"/>
        <v>747.5</v>
      </c>
      <c r="N5" s="7">
        <f t="shared" si="1"/>
        <v>786.2</v>
      </c>
      <c r="O5" s="7">
        <f t="shared" si="1"/>
        <v>814.9</v>
      </c>
      <c r="P5" s="7">
        <f t="shared" si="1"/>
        <v>796.5</v>
      </c>
      <c r="Q5" s="7">
        <f t="shared" si="1"/>
        <v>789.7</v>
      </c>
      <c r="R5" s="7">
        <f t="shared" si="1"/>
        <v>758.8</v>
      </c>
      <c r="S5" s="7">
        <f t="shared" si="1"/>
        <v>741.1</v>
      </c>
      <c r="T5" s="7">
        <f t="shared" si="1"/>
        <v>758.2</v>
      </c>
      <c r="U5" s="7">
        <f t="shared" si="1"/>
        <v>800.5</v>
      </c>
      <c r="V5" s="7">
        <f t="shared" si="1"/>
        <v>778.59999999999991</v>
      </c>
      <c r="W5" s="7">
        <f t="shared" si="1"/>
        <v>527.9</v>
      </c>
      <c r="X5" s="7">
        <f t="shared" si="1"/>
        <v>208.2</v>
      </c>
      <c r="Y5" s="7">
        <f t="shared" si="1"/>
        <v>355.4</v>
      </c>
      <c r="Z5" s="7">
        <f t="shared" si="1"/>
        <v>273.3</v>
      </c>
      <c r="AA5" s="7">
        <f t="shared" si="1"/>
        <v>328.4</v>
      </c>
      <c r="AB5" s="7">
        <f t="shared" si="1"/>
        <v>318.10000000000002</v>
      </c>
      <c r="AC5" s="7">
        <f t="shared" si="1"/>
        <v>315.39999999999998</v>
      </c>
      <c r="AD5" s="7">
        <f t="shared" si="1"/>
        <v>188.3</v>
      </c>
      <c r="AE5" s="7">
        <f t="shared" si="1"/>
        <v>0</v>
      </c>
      <c r="AF5" s="7">
        <f t="shared" si="1"/>
        <v>0</v>
      </c>
      <c r="AG5" s="7">
        <f t="shared" si="1"/>
        <v>0</v>
      </c>
      <c r="AH5" s="7">
        <v>0</v>
      </c>
      <c r="AI5" s="7">
        <f t="shared" si="1"/>
        <v>138.19999999999999</v>
      </c>
    </row>
    <row r="6" spans="1:35" s="3" customFormat="1" ht="24.95" customHeight="1">
      <c r="A6" s="56" t="s">
        <v>39</v>
      </c>
      <c r="B6" s="7" t="s">
        <v>40</v>
      </c>
      <c r="C6" s="7">
        <f>D6+'9月'!C6</f>
        <v>46939096</v>
      </c>
      <c r="D6" s="7">
        <f t="shared" si="0"/>
        <v>3182938</v>
      </c>
      <c r="E6" s="7">
        <v>162050</v>
      </c>
      <c r="F6" s="7">
        <v>172745</v>
      </c>
      <c r="G6" s="7">
        <v>169006</v>
      </c>
      <c r="H6" s="7">
        <v>164063</v>
      </c>
      <c r="I6" s="7">
        <v>156355</v>
      </c>
      <c r="J6" s="7">
        <v>150916</v>
      </c>
      <c r="K6" s="7">
        <v>167784</v>
      </c>
      <c r="L6" s="7">
        <v>174454</v>
      </c>
      <c r="M6" s="7">
        <v>165157</v>
      </c>
      <c r="N6" s="7">
        <v>167887</v>
      </c>
      <c r="O6" s="7">
        <v>176486</v>
      </c>
      <c r="P6" s="26">
        <v>171546</v>
      </c>
      <c r="Q6" s="7">
        <v>171177</v>
      </c>
      <c r="R6" s="7">
        <v>171782</v>
      </c>
      <c r="S6" s="7">
        <v>179499</v>
      </c>
      <c r="T6" s="7">
        <v>171891</v>
      </c>
      <c r="U6" s="26">
        <v>172331</v>
      </c>
      <c r="V6" s="7">
        <v>168882</v>
      </c>
      <c r="W6" s="7">
        <v>101201</v>
      </c>
      <c r="X6" s="7">
        <v>0</v>
      </c>
      <c r="Y6" s="7">
        <v>0</v>
      </c>
      <c r="Z6" s="7">
        <v>0</v>
      </c>
      <c r="AA6" s="7">
        <v>0</v>
      </c>
      <c r="AB6" s="7">
        <v>0</v>
      </c>
      <c r="AC6" s="7">
        <v>0</v>
      </c>
      <c r="AD6" s="7">
        <v>0</v>
      </c>
      <c r="AE6" s="7">
        <v>0</v>
      </c>
      <c r="AF6" s="7">
        <v>0</v>
      </c>
      <c r="AG6" s="7">
        <v>0</v>
      </c>
      <c r="AH6" s="7">
        <v>0</v>
      </c>
      <c r="AI6" s="7">
        <v>47726</v>
      </c>
    </row>
    <row r="7" spans="1:35" s="3" customFormat="1" ht="24.95" customHeight="1">
      <c r="A7" s="56"/>
      <c r="B7" s="7" t="s">
        <v>41</v>
      </c>
      <c r="C7" s="7">
        <f>D7+'9月'!C7</f>
        <v>42252030</v>
      </c>
      <c r="D7" s="7">
        <f t="shared" si="0"/>
        <v>3045120</v>
      </c>
      <c r="E7" s="7">
        <v>117360</v>
      </c>
      <c r="F7" s="7">
        <v>125040</v>
      </c>
      <c r="G7" s="7">
        <v>120240</v>
      </c>
      <c r="H7" s="7">
        <v>120720</v>
      </c>
      <c r="I7" s="7">
        <v>120000</v>
      </c>
      <c r="J7" s="7">
        <v>119520</v>
      </c>
      <c r="K7" s="7">
        <v>123120</v>
      </c>
      <c r="L7" s="7">
        <v>117840</v>
      </c>
      <c r="M7" s="7">
        <v>115680</v>
      </c>
      <c r="N7" s="7">
        <v>118800</v>
      </c>
      <c r="O7" s="7">
        <v>136560</v>
      </c>
      <c r="P7" s="26">
        <v>131040</v>
      </c>
      <c r="Q7" s="7">
        <v>125520</v>
      </c>
      <c r="R7" s="7">
        <v>122160</v>
      </c>
      <c r="S7" s="7">
        <v>124320</v>
      </c>
      <c r="T7" s="7">
        <v>124080</v>
      </c>
      <c r="U7" s="7">
        <v>125760</v>
      </c>
      <c r="V7" s="7">
        <v>130560</v>
      </c>
      <c r="W7" s="7">
        <v>140640</v>
      </c>
      <c r="X7" s="7">
        <v>69840</v>
      </c>
      <c r="Y7" s="7">
        <v>109680</v>
      </c>
      <c r="Z7" s="7">
        <v>110400</v>
      </c>
      <c r="AA7" s="7">
        <v>113040</v>
      </c>
      <c r="AB7" s="7">
        <v>110880</v>
      </c>
      <c r="AC7" s="7">
        <v>109680</v>
      </c>
      <c r="AD7" s="7">
        <v>62640</v>
      </c>
      <c r="AE7" s="7">
        <v>0</v>
      </c>
      <c r="AF7" s="7">
        <v>0</v>
      </c>
      <c r="AG7" s="7">
        <v>0</v>
      </c>
      <c r="AH7" s="7">
        <v>0</v>
      </c>
      <c r="AI7" s="26">
        <v>0</v>
      </c>
    </row>
    <row r="8" spans="1:35" s="3" customFormat="1" ht="24.75" customHeight="1">
      <c r="A8" s="56"/>
      <c r="B8" s="7" t="s">
        <v>38</v>
      </c>
      <c r="C8" s="7">
        <f>D8+'9月'!C8</f>
        <v>89191126</v>
      </c>
      <c r="D8" s="7">
        <f t="shared" si="0"/>
        <v>6228058</v>
      </c>
      <c r="E8" s="7">
        <f>E6+E7</f>
        <v>279410</v>
      </c>
      <c r="F8" s="7">
        <f t="shared" ref="F8:AI8" si="2">F6+F7</f>
        <v>297785</v>
      </c>
      <c r="G8" s="7">
        <f t="shared" si="2"/>
        <v>289246</v>
      </c>
      <c r="H8" s="7">
        <f t="shared" si="2"/>
        <v>284783</v>
      </c>
      <c r="I8" s="7">
        <f t="shared" si="2"/>
        <v>276355</v>
      </c>
      <c r="J8" s="7">
        <f t="shared" si="2"/>
        <v>270436</v>
      </c>
      <c r="K8" s="7">
        <f t="shared" si="2"/>
        <v>290904</v>
      </c>
      <c r="L8" s="7">
        <f t="shared" si="2"/>
        <v>292294</v>
      </c>
      <c r="M8" s="7">
        <f t="shared" si="2"/>
        <v>280837</v>
      </c>
      <c r="N8" s="7">
        <f t="shared" si="2"/>
        <v>286687</v>
      </c>
      <c r="O8" s="7">
        <f t="shared" si="2"/>
        <v>313046</v>
      </c>
      <c r="P8" s="7">
        <f t="shared" si="2"/>
        <v>302586</v>
      </c>
      <c r="Q8" s="7">
        <f t="shared" si="2"/>
        <v>296697</v>
      </c>
      <c r="R8" s="7">
        <f t="shared" si="2"/>
        <v>293942</v>
      </c>
      <c r="S8" s="7">
        <f t="shared" si="2"/>
        <v>303819</v>
      </c>
      <c r="T8" s="7">
        <f t="shared" si="2"/>
        <v>295971</v>
      </c>
      <c r="U8" s="7">
        <f t="shared" si="2"/>
        <v>298091</v>
      </c>
      <c r="V8" s="7">
        <f t="shared" si="2"/>
        <v>299442</v>
      </c>
      <c r="W8" s="7">
        <f t="shared" si="2"/>
        <v>241841</v>
      </c>
      <c r="X8" s="7">
        <f t="shared" si="2"/>
        <v>69840</v>
      </c>
      <c r="Y8" s="7">
        <f t="shared" si="2"/>
        <v>109680</v>
      </c>
      <c r="Z8" s="7">
        <f t="shared" si="2"/>
        <v>110400</v>
      </c>
      <c r="AA8" s="7">
        <f t="shared" si="2"/>
        <v>113040</v>
      </c>
      <c r="AB8" s="7">
        <f t="shared" si="2"/>
        <v>110880</v>
      </c>
      <c r="AC8" s="7">
        <f t="shared" si="2"/>
        <v>109680</v>
      </c>
      <c r="AD8" s="7">
        <f t="shared" si="2"/>
        <v>62640</v>
      </c>
      <c r="AE8" s="7">
        <f t="shared" si="2"/>
        <v>0</v>
      </c>
      <c r="AF8" s="7">
        <f t="shared" si="2"/>
        <v>0</v>
      </c>
      <c r="AG8" s="7">
        <f t="shared" si="2"/>
        <v>0</v>
      </c>
      <c r="AH8" s="7">
        <f t="shared" si="2"/>
        <v>0</v>
      </c>
      <c r="AI8" s="7">
        <f t="shared" si="2"/>
        <v>47726</v>
      </c>
    </row>
    <row r="9" spans="1:35" s="3" customFormat="1" ht="24.95" customHeight="1">
      <c r="A9" s="56" t="s">
        <v>42</v>
      </c>
      <c r="B9" s="7" t="s">
        <v>38</v>
      </c>
      <c r="C9" s="7">
        <f>D9+'9月'!C9</f>
        <v>74539287</v>
      </c>
      <c r="D9" s="7">
        <f t="shared" si="0"/>
        <v>5100459</v>
      </c>
      <c r="E9" s="7">
        <v>225150</v>
      </c>
      <c r="F9" s="7">
        <v>243985</v>
      </c>
      <c r="G9" s="7">
        <v>235706</v>
      </c>
      <c r="H9" s="7">
        <v>231863</v>
      </c>
      <c r="I9" s="7">
        <v>224535</v>
      </c>
      <c r="J9" s="7">
        <v>221596</v>
      </c>
      <c r="K9" s="7">
        <v>241144</v>
      </c>
      <c r="L9" s="7">
        <v>241794</v>
      </c>
      <c r="M9" s="7">
        <v>226717</v>
      </c>
      <c r="N9" s="7">
        <v>233447</v>
      </c>
      <c r="O9" s="7">
        <v>260886</v>
      </c>
      <c r="P9" s="7">
        <v>251226</v>
      </c>
      <c r="Q9" s="7">
        <v>246957</v>
      </c>
      <c r="R9" s="7">
        <v>244002</v>
      </c>
      <c r="S9" s="7">
        <v>254839</v>
      </c>
      <c r="T9" s="7">
        <v>247431</v>
      </c>
      <c r="U9" s="7">
        <v>247531</v>
      </c>
      <c r="V9" s="7">
        <v>249562</v>
      </c>
      <c r="W9" s="7">
        <v>199721</v>
      </c>
      <c r="X9" s="7">
        <v>52860</v>
      </c>
      <c r="Y9" s="7">
        <v>84600</v>
      </c>
      <c r="Z9" s="7">
        <v>85300</v>
      </c>
      <c r="AA9" s="7">
        <v>89800</v>
      </c>
      <c r="AB9" s="7">
        <v>87200</v>
      </c>
      <c r="AC9" s="7">
        <v>86090</v>
      </c>
      <c r="AD9" s="7">
        <v>47891</v>
      </c>
      <c r="AE9" s="7">
        <v>0</v>
      </c>
      <c r="AF9" s="7">
        <v>0</v>
      </c>
      <c r="AG9" s="7">
        <v>0</v>
      </c>
      <c r="AH9" s="7">
        <v>0</v>
      </c>
      <c r="AI9" s="7">
        <v>38626</v>
      </c>
    </row>
    <row r="10" spans="1:35" s="3" customFormat="1" ht="24.95" customHeight="1">
      <c r="A10" s="56"/>
      <c r="B10" s="6" t="s">
        <v>43</v>
      </c>
      <c r="C10" s="8">
        <f>SUM(C8/C5)</f>
        <v>408.60260954456891</v>
      </c>
      <c r="D10" s="8">
        <f t="shared" ref="D10:AI10" si="3">SUM(D8/D5)</f>
        <v>376.73883192692739</v>
      </c>
      <c r="E10" s="8">
        <f t="shared" si="3"/>
        <v>371.16099893730075</v>
      </c>
      <c r="F10" s="8">
        <f t="shared" si="3"/>
        <v>387.08566229039388</v>
      </c>
      <c r="G10" s="8">
        <f t="shared" si="3"/>
        <v>382.19608879492603</v>
      </c>
      <c r="H10" s="8">
        <f t="shared" si="3"/>
        <v>349.77032670105621</v>
      </c>
      <c r="I10" s="8">
        <f t="shared" si="3"/>
        <v>361.39008761605857</v>
      </c>
      <c r="J10" s="8">
        <f t="shared" si="3"/>
        <v>365.30595704444147</v>
      </c>
      <c r="K10" s="8">
        <f t="shared" si="3"/>
        <v>395.46492659053831</v>
      </c>
      <c r="L10" s="8">
        <f t="shared" si="3"/>
        <v>378.32513590473724</v>
      </c>
      <c r="M10" s="8">
        <f t="shared" si="3"/>
        <v>375.70167224080268</v>
      </c>
      <c r="N10" s="8">
        <f t="shared" si="3"/>
        <v>364.64894428898498</v>
      </c>
      <c r="O10" s="8">
        <f t="shared" si="3"/>
        <v>384.15265676770156</v>
      </c>
      <c r="P10" s="8">
        <f t="shared" si="3"/>
        <v>379.89453860640299</v>
      </c>
      <c r="Q10" s="8">
        <f t="shared" si="3"/>
        <v>375.70849689755602</v>
      </c>
      <c r="R10" s="8">
        <f t="shared" si="3"/>
        <v>387.3774380600949</v>
      </c>
      <c r="S10" s="8">
        <f t="shared" si="3"/>
        <v>409.9568209418432</v>
      </c>
      <c r="T10" s="8">
        <f t="shared" si="3"/>
        <v>390.36006330783431</v>
      </c>
      <c r="U10" s="8">
        <f t="shared" si="3"/>
        <v>372.38101186758274</v>
      </c>
      <c r="V10" s="8">
        <f t="shared" si="3"/>
        <v>384.5902902645775</v>
      </c>
      <c r="W10" s="8">
        <f t="shared" si="3"/>
        <v>458.11896192460694</v>
      </c>
      <c r="X10" s="8">
        <f t="shared" si="3"/>
        <v>335.44668587896257</v>
      </c>
      <c r="Y10" s="8">
        <f t="shared" si="3"/>
        <v>308.61001688238605</v>
      </c>
      <c r="Z10" s="8">
        <f t="shared" si="3"/>
        <v>403.95170142700329</v>
      </c>
      <c r="AA10" s="8">
        <f t="shared" si="3"/>
        <v>344.21437271619976</v>
      </c>
      <c r="AB10" s="8">
        <f t="shared" si="3"/>
        <v>348.56963219113482</v>
      </c>
      <c r="AC10" s="8">
        <f t="shared" si="3"/>
        <v>347.74889029803427</v>
      </c>
      <c r="AD10" s="8">
        <f t="shared" si="3"/>
        <v>332.66064790228359</v>
      </c>
      <c r="AE10" s="8" t="e">
        <f t="shared" si="3"/>
        <v>#DIV/0!</v>
      </c>
      <c r="AF10" s="8" t="e">
        <f t="shared" si="3"/>
        <v>#DIV/0!</v>
      </c>
      <c r="AG10" s="8" t="e">
        <f t="shared" si="3"/>
        <v>#DIV/0!</v>
      </c>
      <c r="AH10" s="8" t="e">
        <f t="shared" si="3"/>
        <v>#DIV/0!</v>
      </c>
      <c r="AI10" s="8">
        <f t="shared" si="3"/>
        <v>345.34008683068021</v>
      </c>
    </row>
    <row r="11" spans="1:35" s="3" customFormat="1" ht="24.95" customHeight="1">
      <c r="A11" s="56"/>
      <c r="B11" s="9" t="s">
        <v>44</v>
      </c>
      <c r="C11" s="8">
        <f>(C8-C16)/C5</f>
        <v>341.19208386532546</v>
      </c>
      <c r="D11" s="8">
        <f>(D8-D16)/D5</f>
        <v>303.88688261803225</v>
      </c>
      <c r="E11" s="8">
        <f>(E8-E16)/E5</f>
        <v>299.0834218916047</v>
      </c>
      <c r="F11" s="8">
        <f>(F8-F16)/F5</f>
        <v>317.15195632393085</v>
      </c>
      <c r="G11" s="8">
        <f>(G8-G16)/G5</f>
        <v>311.45084566596194</v>
      </c>
      <c r="H11" s="8">
        <f>(H8-H16)/H5</f>
        <v>284.77401129943502</v>
      </c>
      <c r="I11" s="8">
        <f>(I8-I16)/I5</f>
        <v>293.62495096116123</v>
      </c>
      <c r="J11" s="8">
        <f>(J8-J16)/J5</f>
        <v>299.3327029582602</v>
      </c>
      <c r="K11" s="8">
        <f>(K8-K16)/K5</f>
        <v>327.81946710168569</v>
      </c>
      <c r="L11" s="8">
        <f>(L8-L16)/L5</f>
        <v>312.96142894123739</v>
      </c>
      <c r="M11" s="8">
        <f>(M8-M16)/M5</f>
        <v>303.30033444816053</v>
      </c>
      <c r="N11" s="8">
        <f>(N8-N16)/N5</f>
        <v>296.93080641058253</v>
      </c>
      <c r="O11" s="8">
        <f>(O8-O16)/O5</f>
        <v>320.14480304331823</v>
      </c>
      <c r="P11" s="8">
        <f>(P8-P16)/P5</f>
        <v>315.4124293785311</v>
      </c>
      <c r="Q11" s="8">
        <f>(Q8-Q16)/Q5</f>
        <v>312.72255286817779</v>
      </c>
      <c r="R11" s="8">
        <f>(R8-R16)/R5</f>
        <v>321.5629942013706</v>
      </c>
      <c r="S11" s="8">
        <f>(S8-S16)/S5</f>
        <v>343.86587505060044</v>
      </c>
      <c r="T11" s="8">
        <f>(T8-T16)/T5</f>
        <v>326.34001582695856</v>
      </c>
      <c r="U11" s="8">
        <f>(U8-U16)/U5</f>
        <v>309.22048719550281</v>
      </c>
      <c r="V11" s="8">
        <f>(V8-V16)/V5</f>
        <v>320.5265861803237</v>
      </c>
      <c r="W11" s="8">
        <f>(W8-W16)/W5</f>
        <v>378.3311233188104</v>
      </c>
      <c r="X11" s="8">
        <f>(X8-X16)/X5</f>
        <v>234.6781940441883</v>
      </c>
      <c r="Y11" s="8">
        <f>(Y8-Y16)/Y5</f>
        <v>238.04164321890829</v>
      </c>
      <c r="Z11" s="8">
        <f>(Z8-Z16)/Z5</f>
        <v>312.11123307720453</v>
      </c>
      <c r="AA11" s="8">
        <f>(AA8-AA16)/AA5</f>
        <v>273.44701583434835</v>
      </c>
      <c r="AB11" s="8">
        <f>(AB8-AB16)/AB5</f>
        <v>274.12763281986793</v>
      </c>
      <c r="AC11" s="8">
        <f>(AC8-AC16)/AC5</f>
        <v>272.95497780596071</v>
      </c>
      <c r="AD11" s="8">
        <f>(AD8-AD16)/AD5</f>
        <v>215.03451938396174</v>
      </c>
      <c r="AE11" s="8" t="e">
        <f>(AE8-AE16)/AE5</f>
        <v>#DIV/0!</v>
      </c>
      <c r="AF11" s="8" t="e">
        <f>(AF8-AF16)/AF5</f>
        <v>#DIV/0!</v>
      </c>
      <c r="AG11" s="8" t="e">
        <f>(AG8-AG16)/AG5</f>
        <v>#DIV/0!</v>
      </c>
      <c r="AH11" s="8" t="e">
        <f>(AH8-AH16)/AH5</f>
        <v>#DIV/0!</v>
      </c>
      <c r="AI11" s="8">
        <f>(AI8-AI16)/AI5</f>
        <v>206.26628075253257</v>
      </c>
    </row>
    <row r="12" spans="1:35" s="3" customFormat="1" ht="24.95" customHeight="1">
      <c r="A12" s="56"/>
      <c r="B12" s="6" t="s">
        <v>45</v>
      </c>
      <c r="C12" s="8">
        <f>D12+'9月'!C12</f>
        <v>230819.81999999995</v>
      </c>
      <c r="D12" s="8">
        <f t="shared" ref="D12:D16" si="4">SUM(E12:AI12)</f>
        <v>17810.400000000001</v>
      </c>
      <c r="E12" s="7">
        <v>653.24</v>
      </c>
      <c r="F12" s="7">
        <v>790.18</v>
      </c>
      <c r="G12" s="7">
        <v>775.78</v>
      </c>
      <c r="H12" s="7">
        <v>784</v>
      </c>
      <c r="I12" s="7">
        <v>629.17999999999995</v>
      </c>
      <c r="J12" s="7">
        <v>764.26</v>
      </c>
      <c r="K12" s="7">
        <v>752</v>
      </c>
      <c r="L12" s="7">
        <v>653.66</v>
      </c>
      <c r="M12" s="7">
        <v>603.58000000000004</v>
      </c>
      <c r="N12" s="7">
        <v>719.9</v>
      </c>
      <c r="O12" s="7">
        <v>718.82</v>
      </c>
      <c r="P12" s="7">
        <v>732.98</v>
      </c>
      <c r="Q12" s="7">
        <v>743</v>
      </c>
      <c r="R12" s="7">
        <v>715.32</v>
      </c>
      <c r="S12" s="7">
        <v>754.16</v>
      </c>
      <c r="T12" s="7">
        <v>706.28</v>
      </c>
      <c r="U12" s="7">
        <v>747.92</v>
      </c>
      <c r="V12" s="7">
        <v>734.12</v>
      </c>
      <c r="W12" s="7">
        <v>697.62</v>
      </c>
      <c r="X12" s="7">
        <v>401.5</v>
      </c>
      <c r="Y12" s="7">
        <v>550.34</v>
      </c>
      <c r="Z12" s="7">
        <v>542.62</v>
      </c>
      <c r="AA12" s="7">
        <v>569.96</v>
      </c>
      <c r="AB12" s="7">
        <v>539.34</v>
      </c>
      <c r="AC12" s="7">
        <v>491.02</v>
      </c>
      <c r="AD12" s="12">
        <v>572.28</v>
      </c>
      <c r="AE12" s="7">
        <v>467.34</v>
      </c>
      <c r="AF12" s="7">
        <v>0</v>
      </c>
      <c r="AG12" s="7">
        <v>0</v>
      </c>
      <c r="AH12" s="12">
        <v>0</v>
      </c>
      <c r="AI12" s="7">
        <v>0</v>
      </c>
    </row>
    <row r="13" spans="1:35" s="3" customFormat="1" ht="24.75" customHeight="1">
      <c r="A13" s="58" t="s">
        <v>46</v>
      </c>
      <c r="B13" s="6" t="s">
        <v>36</v>
      </c>
      <c r="C13" s="8">
        <f>D13+'9月'!C13</f>
        <v>257765</v>
      </c>
      <c r="D13" s="10">
        <f t="shared" si="4"/>
        <v>16707</v>
      </c>
      <c r="E13" s="7">
        <f>295+293+266</f>
        <v>854</v>
      </c>
      <c r="F13" s="7">
        <f>305+302+311</f>
        <v>918</v>
      </c>
      <c r="G13" s="7">
        <f>299+306+305</f>
        <v>910</v>
      </c>
      <c r="H13" s="7">
        <f>298+306+301</f>
        <v>905</v>
      </c>
      <c r="I13" s="7">
        <f>291+317+269</f>
        <v>877</v>
      </c>
      <c r="J13" s="7">
        <f>254+291+283</f>
        <v>828</v>
      </c>
      <c r="K13" s="7">
        <f>301+312+325</f>
        <v>938</v>
      </c>
      <c r="L13" s="7">
        <f>313+309+313</f>
        <v>935</v>
      </c>
      <c r="M13" s="20">
        <f>274+303+270</f>
        <v>847</v>
      </c>
      <c r="N13" s="7">
        <f>329+272+299</f>
        <v>900</v>
      </c>
      <c r="O13" s="7">
        <f>308+309+349</f>
        <v>966</v>
      </c>
      <c r="P13" s="20">
        <f>326+304+273</f>
        <v>903</v>
      </c>
      <c r="Q13" s="7">
        <f>294+317+239</f>
        <v>850</v>
      </c>
      <c r="R13" s="7">
        <f>269+279+306</f>
        <v>854</v>
      </c>
      <c r="S13" s="7">
        <f>284+290+321</f>
        <v>895</v>
      </c>
      <c r="T13" s="7">
        <f>258+308+281</f>
        <v>847</v>
      </c>
      <c r="U13" s="7">
        <f>255+293+274</f>
        <v>822</v>
      </c>
      <c r="V13" s="7">
        <f>313+272+287</f>
        <v>872</v>
      </c>
      <c r="W13" s="7">
        <f>313+192</f>
        <v>505</v>
      </c>
      <c r="X13" s="7"/>
      <c r="Y13" s="7"/>
      <c r="Z13" s="7"/>
      <c r="AA13" s="7"/>
      <c r="AB13" s="7"/>
      <c r="AC13" s="7"/>
      <c r="AD13" s="7"/>
      <c r="AE13" s="7">
        <v>0</v>
      </c>
      <c r="AF13" s="7">
        <v>0</v>
      </c>
      <c r="AG13" s="7">
        <v>0</v>
      </c>
      <c r="AH13" s="7">
        <v>0</v>
      </c>
      <c r="AI13" s="7">
        <v>281</v>
      </c>
    </row>
    <row r="14" spans="1:35" s="3" customFormat="1" ht="25.5" customHeight="1">
      <c r="A14" s="59"/>
      <c r="B14" s="6" t="s">
        <v>37</v>
      </c>
      <c r="C14" s="8">
        <f>D14+'9月'!C14</f>
        <v>297920</v>
      </c>
      <c r="D14" s="10">
        <f t="shared" si="4"/>
        <v>23426</v>
      </c>
      <c r="E14" s="7">
        <f>319+331+329</f>
        <v>979</v>
      </c>
      <c r="F14" s="7">
        <f>327+327+348</f>
        <v>1002</v>
      </c>
      <c r="G14" s="7">
        <f>319+331+343</f>
        <v>993</v>
      </c>
      <c r="H14" s="7">
        <f>329+309+339</f>
        <v>977</v>
      </c>
      <c r="I14" s="7">
        <f>338+311+333</f>
        <v>982</v>
      </c>
      <c r="J14" s="7">
        <f>329+319+328</f>
        <v>976</v>
      </c>
      <c r="K14" s="7">
        <f>321+334+328</f>
        <v>983</v>
      </c>
      <c r="L14" s="7">
        <f>319+339+324</f>
        <v>982</v>
      </c>
      <c r="M14" s="20">
        <f>327+320+325</f>
        <v>972</v>
      </c>
      <c r="N14" s="7">
        <f>340+331+319</f>
        <v>990</v>
      </c>
      <c r="O14" s="7">
        <f>324+331+390</f>
        <v>1045</v>
      </c>
      <c r="P14" s="20">
        <f>365+340+341</f>
        <v>1046</v>
      </c>
      <c r="Q14" s="7">
        <f>355+329+352</f>
        <v>1036</v>
      </c>
      <c r="R14" s="7">
        <f>314+345+349</f>
        <v>1008</v>
      </c>
      <c r="S14" s="7">
        <f>337+351+337</f>
        <v>1025</v>
      </c>
      <c r="T14" s="7">
        <f>352+340+345</f>
        <v>1037</v>
      </c>
      <c r="U14" s="7">
        <f>330+349+353</f>
        <v>1032</v>
      </c>
      <c r="V14" s="7">
        <f>308+345+392</f>
        <v>1045</v>
      </c>
      <c r="W14" s="7">
        <f>358+345+338</f>
        <v>1041</v>
      </c>
      <c r="X14" s="7">
        <f>235+218</f>
        <v>453</v>
      </c>
      <c r="Y14" s="7">
        <f>235+231+222</f>
        <v>688</v>
      </c>
      <c r="Z14" s="7">
        <f>215+237+233</f>
        <v>685</v>
      </c>
      <c r="AA14" s="7">
        <f>227+232+227</f>
        <v>686</v>
      </c>
      <c r="AB14" s="7">
        <f>219+233+229</f>
        <v>681</v>
      </c>
      <c r="AC14" s="7">
        <f>216+233+232</f>
        <v>681</v>
      </c>
      <c r="AD14" s="7">
        <f>252+149</f>
        <v>401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</row>
    <row r="15" spans="1:35" s="3" customFormat="1" ht="24" customHeight="1">
      <c r="A15" s="60"/>
      <c r="B15" s="7" t="s">
        <v>38</v>
      </c>
      <c r="C15" s="8">
        <f>D15+'9月'!C15</f>
        <v>555685</v>
      </c>
      <c r="D15" s="7">
        <f t="shared" si="4"/>
        <v>40133</v>
      </c>
      <c r="E15" s="7">
        <f>E13+E14</f>
        <v>1833</v>
      </c>
      <c r="F15" s="7">
        <f t="shared" ref="F15:AI15" si="5">F13+F14</f>
        <v>1920</v>
      </c>
      <c r="G15" s="7">
        <f t="shared" si="5"/>
        <v>1903</v>
      </c>
      <c r="H15" s="7">
        <f t="shared" si="5"/>
        <v>1882</v>
      </c>
      <c r="I15" s="7">
        <f t="shared" si="5"/>
        <v>1859</v>
      </c>
      <c r="J15" s="7">
        <f t="shared" si="5"/>
        <v>1804</v>
      </c>
      <c r="K15" s="7">
        <f t="shared" si="5"/>
        <v>1921</v>
      </c>
      <c r="L15" s="7">
        <f t="shared" si="5"/>
        <v>1917</v>
      </c>
      <c r="M15" s="7">
        <f t="shared" si="5"/>
        <v>1819</v>
      </c>
      <c r="N15" s="7">
        <f t="shared" si="5"/>
        <v>1890</v>
      </c>
      <c r="O15" s="7">
        <f t="shared" si="5"/>
        <v>2011</v>
      </c>
      <c r="P15" s="7">
        <f t="shared" si="5"/>
        <v>1949</v>
      </c>
      <c r="Q15" s="7">
        <f t="shared" si="5"/>
        <v>1886</v>
      </c>
      <c r="R15" s="7">
        <f t="shared" si="5"/>
        <v>1862</v>
      </c>
      <c r="S15" s="7">
        <f t="shared" si="5"/>
        <v>1920</v>
      </c>
      <c r="T15" s="7">
        <f t="shared" si="5"/>
        <v>1884</v>
      </c>
      <c r="U15" s="7">
        <f t="shared" si="5"/>
        <v>1854</v>
      </c>
      <c r="V15" s="7">
        <f t="shared" si="5"/>
        <v>1917</v>
      </c>
      <c r="W15" s="7">
        <f t="shared" si="5"/>
        <v>1546</v>
      </c>
      <c r="X15" s="7">
        <f t="shared" si="5"/>
        <v>453</v>
      </c>
      <c r="Y15" s="7">
        <f t="shared" si="5"/>
        <v>688</v>
      </c>
      <c r="Z15" s="7">
        <f t="shared" si="5"/>
        <v>685</v>
      </c>
      <c r="AA15" s="7">
        <f t="shared" si="5"/>
        <v>686</v>
      </c>
      <c r="AB15" s="7">
        <f t="shared" si="5"/>
        <v>681</v>
      </c>
      <c r="AC15" s="7">
        <f t="shared" si="5"/>
        <v>681</v>
      </c>
      <c r="AD15" s="7">
        <f t="shared" si="5"/>
        <v>401</v>
      </c>
      <c r="AE15" s="7">
        <f t="shared" si="5"/>
        <v>0</v>
      </c>
      <c r="AF15" s="7">
        <f t="shared" si="5"/>
        <v>0</v>
      </c>
      <c r="AG15" s="7">
        <f t="shared" si="5"/>
        <v>0</v>
      </c>
      <c r="AH15" s="7">
        <f t="shared" si="5"/>
        <v>0</v>
      </c>
      <c r="AI15" s="7">
        <f t="shared" si="5"/>
        <v>281</v>
      </c>
    </row>
    <row r="16" spans="1:35" s="3" customFormat="1" ht="24.75" customHeight="1">
      <c r="A16" s="56" t="s">
        <v>47</v>
      </c>
      <c r="B16" s="7" t="s">
        <v>38</v>
      </c>
      <c r="C16" s="8">
        <f>D16+'9月'!C16</f>
        <v>14714592</v>
      </c>
      <c r="D16" s="7">
        <f t="shared" si="4"/>
        <v>1204352</v>
      </c>
      <c r="E16" s="7">
        <v>54260</v>
      </c>
      <c r="F16" s="7">
        <v>53800</v>
      </c>
      <c r="G16" s="7">
        <v>53540</v>
      </c>
      <c r="H16" s="7">
        <v>52920</v>
      </c>
      <c r="I16" s="7">
        <v>51820</v>
      </c>
      <c r="J16" s="7">
        <v>48840</v>
      </c>
      <c r="K16" s="7">
        <v>49760</v>
      </c>
      <c r="L16" s="7">
        <v>50500</v>
      </c>
      <c r="M16" s="7">
        <v>54120</v>
      </c>
      <c r="N16" s="7">
        <v>53240</v>
      </c>
      <c r="O16" s="7">
        <v>52160</v>
      </c>
      <c r="P16" s="7">
        <v>51360</v>
      </c>
      <c r="Q16" s="7">
        <v>49740</v>
      </c>
      <c r="R16" s="7">
        <v>49940</v>
      </c>
      <c r="S16" s="7">
        <v>48980</v>
      </c>
      <c r="T16" s="7">
        <v>48540</v>
      </c>
      <c r="U16" s="7">
        <v>50560</v>
      </c>
      <c r="V16" s="7">
        <v>49880</v>
      </c>
      <c r="W16" s="7">
        <v>42120</v>
      </c>
      <c r="X16" s="7">
        <v>20980</v>
      </c>
      <c r="Y16" s="7">
        <v>25080</v>
      </c>
      <c r="Z16" s="7">
        <v>25100</v>
      </c>
      <c r="AA16" s="7">
        <v>23240</v>
      </c>
      <c r="AB16" s="7">
        <v>23680</v>
      </c>
      <c r="AC16" s="7">
        <v>23590</v>
      </c>
      <c r="AD16" s="7">
        <v>22149</v>
      </c>
      <c r="AE16" s="7">
        <v>14000</v>
      </c>
      <c r="AF16" s="7">
        <v>14165</v>
      </c>
      <c r="AG16" s="7">
        <v>13765</v>
      </c>
      <c r="AH16" s="7">
        <v>13303</v>
      </c>
      <c r="AI16" s="7">
        <v>19220</v>
      </c>
    </row>
    <row r="17" spans="1:35" s="3" customFormat="1" ht="24.95" customHeight="1">
      <c r="A17" s="56"/>
      <c r="B17" s="6" t="s">
        <v>48</v>
      </c>
      <c r="C17" s="11">
        <f>SUM(C16/C8)</f>
        <v>0.16497820646417224</v>
      </c>
      <c r="D17" s="11">
        <f>SUM(D16/D8)</f>
        <v>0.19337520620392423</v>
      </c>
      <c r="E17" s="11">
        <f>SUM(E16/E8)</f>
        <v>0.19419491070469919</v>
      </c>
      <c r="F17" s="11">
        <f>SUM(F16/F8)</f>
        <v>0.18066725993585978</v>
      </c>
      <c r="G17" s="11">
        <f>SUM(G16/G8)</f>
        <v>0.18510195473748989</v>
      </c>
      <c r="H17" s="11">
        <f>SUM(H16/H8)</f>
        <v>0.18582569886545194</v>
      </c>
      <c r="I17" s="11">
        <f>SUM(I16/I8)</f>
        <v>0.18751243871107814</v>
      </c>
      <c r="J17" s="11">
        <f>SUM(J16/J8)</f>
        <v>0.18059725776154062</v>
      </c>
      <c r="K17" s="11">
        <f>SUM(K16/K8)</f>
        <v>0.17105299342738498</v>
      </c>
      <c r="L17" s="11">
        <f>SUM(L16/L8)</f>
        <v>0.17277125086385625</v>
      </c>
      <c r="M17" s="11">
        <f>SUM(M16/M8)</f>
        <v>0.19270965008172</v>
      </c>
      <c r="N17" s="11">
        <f>SUM(N16/N8)</f>
        <v>0.18570775793809974</v>
      </c>
      <c r="O17" s="11">
        <f>SUM(O16/O8)</f>
        <v>0.16662087999846667</v>
      </c>
      <c r="P17" s="11">
        <f>SUM(P16/P8)</f>
        <v>0.16973686819614919</v>
      </c>
      <c r="Q17" s="11">
        <f>SUM(Q16/Q8)</f>
        <v>0.16764578003822081</v>
      </c>
      <c r="R17" s="11">
        <f>SUM(R16/R8)</f>
        <v>0.16989746276476311</v>
      </c>
      <c r="S17" s="11">
        <f>SUM(S16/S8)</f>
        <v>0.16121440726221861</v>
      </c>
      <c r="T17" s="11">
        <f>SUM(T16/T8)</f>
        <v>0.16400255430430685</v>
      </c>
      <c r="U17" s="11">
        <f>SUM(U16/U8)</f>
        <v>0.16961263506781485</v>
      </c>
      <c r="V17" s="11">
        <f>SUM(V16/V8)</f>
        <v>0.16657649895472246</v>
      </c>
      <c r="W17" s="11">
        <f>SUM(W16/W8)</f>
        <v>0.17416401685404873</v>
      </c>
      <c r="X17" s="11">
        <f>SUM(X16/X8)</f>
        <v>0.30040091638029781</v>
      </c>
      <c r="Y17" s="11">
        <f>SUM(Y16/Y8)</f>
        <v>0.2286652078774617</v>
      </c>
      <c r="Z17" s="11">
        <f>SUM(Z16/Z8)</f>
        <v>0.22735507246376813</v>
      </c>
      <c r="AA17" s="11">
        <f>SUM(AA16/AA8)</f>
        <v>0.20559094125973107</v>
      </c>
      <c r="AB17" s="11">
        <f>SUM(AB16/AB8)</f>
        <v>0.21356421356421357</v>
      </c>
      <c r="AC17" s="11">
        <f>SUM(AC16/AC8)</f>
        <v>0.2150802334062728</v>
      </c>
      <c r="AD17" s="11">
        <f>SUM(AD16/AD8)</f>
        <v>0.35359195402298849</v>
      </c>
      <c r="AE17" s="11" t="e">
        <f>SUM(AE16/AE8)</f>
        <v>#DIV/0!</v>
      </c>
      <c r="AF17" s="11" t="e">
        <f>SUM(AF16/AF8)</f>
        <v>#DIV/0!</v>
      </c>
      <c r="AG17" s="11" t="e">
        <f>SUM(AG16/AG8)</f>
        <v>#DIV/0!</v>
      </c>
      <c r="AH17" s="11" t="e">
        <f>SUM(AH16/AH8)</f>
        <v>#DIV/0!</v>
      </c>
      <c r="AI17" s="11">
        <f>SUM(AI16/AI8)</f>
        <v>0.40271550098478814</v>
      </c>
    </row>
    <row r="18" spans="1:35" s="3" customFormat="1" ht="24.95" customHeight="1">
      <c r="A18" s="13"/>
      <c r="B18" s="13" t="s">
        <v>49</v>
      </c>
      <c r="C18" s="7">
        <f>D18+'9月'!C18</f>
        <v>123</v>
      </c>
      <c r="D18" s="7">
        <f>COUNT(E18:AI18)</f>
        <v>31</v>
      </c>
      <c r="E18" s="14">
        <v>5000</v>
      </c>
      <c r="F18" s="14">
        <v>5000</v>
      </c>
      <c r="G18" s="14">
        <v>5000</v>
      </c>
      <c r="H18" s="14">
        <v>4800</v>
      </c>
      <c r="I18" s="14">
        <v>4600</v>
      </c>
      <c r="J18" s="7">
        <v>4600</v>
      </c>
      <c r="K18" s="14">
        <v>4600</v>
      </c>
      <c r="L18" s="14">
        <v>4300</v>
      </c>
      <c r="M18" s="7">
        <v>4100</v>
      </c>
      <c r="N18" s="7">
        <v>4000</v>
      </c>
      <c r="O18" s="7">
        <v>3800</v>
      </c>
      <c r="P18" s="7">
        <v>3400</v>
      </c>
      <c r="Q18" s="7">
        <v>3300</v>
      </c>
      <c r="R18" s="7">
        <v>3200</v>
      </c>
      <c r="S18" s="7">
        <v>3000</v>
      </c>
      <c r="T18" s="7">
        <v>2900</v>
      </c>
      <c r="U18" s="7">
        <v>2700</v>
      </c>
      <c r="V18" s="7">
        <v>2600</v>
      </c>
      <c r="W18" s="7">
        <v>2700</v>
      </c>
      <c r="X18" s="7">
        <v>2800</v>
      </c>
      <c r="Y18" s="7">
        <v>3000</v>
      </c>
      <c r="Z18" s="7">
        <v>3200</v>
      </c>
      <c r="AA18" s="7">
        <v>3300</v>
      </c>
      <c r="AB18" s="7">
        <v>3500</v>
      </c>
      <c r="AC18" s="7">
        <v>3600</v>
      </c>
      <c r="AD18" s="7">
        <v>3900</v>
      </c>
      <c r="AE18" s="7">
        <v>4300</v>
      </c>
      <c r="AF18" s="7">
        <v>4300</v>
      </c>
      <c r="AG18" s="7">
        <v>4300</v>
      </c>
      <c r="AH18" s="7">
        <v>4300</v>
      </c>
      <c r="AI18" s="7">
        <v>4100</v>
      </c>
    </row>
    <row r="19" spans="1:35" s="3" customFormat="1" ht="24.95" customHeight="1">
      <c r="A19" s="61" t="s">
        <v>50</v>
      </c>
      <c r="B19" s="13" t="s">
        <v>51</v>
      </c>
      <c r="C19" s="7">
        <f>D19+'9月'!C19</f>
        <v>7352.22</v>
      </c>
      <c r="D19" s="7">
        <f t="shared" ref="D19:D28" si="6">SUM(E19:AI19)</f>
        <v>0</v>
      </c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28"/>
      <c r="T19" s="28"/>
      <c r="U19" s="28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</row>
    <row r="20" spans="1:35" s="3" customFormat="1" ht="24.95" customHeight="1">
      <c r="A20" s="62"/>
      <c r="B20" s="13" t="s">
        <v>52</v>
      </c>
      <c r="C20" s="7">
        <f>D20+'9月'!C20</f>
        <v>90663.92</v>
      </c>
      <c r="D20" s="7">
        <f t="shared" si="6"/>
        <v>5947.4800000000005</v>
      </c>
      <c r="E20" s="15">
        <v>351.5</v>
      </c>
      <c r="F20" s="15">
        <v>303.48</v>
      </c>
      <c r="G20" s="15">
        <v>324.06</v>
      </c>
      <c r="H20" s="15">
        <v>332.56</v>
      </c>
      <c r="I20" s="15">
        <v>300.44</v>
      </c>
      <c r="J20" s="15">
        <v>306.68</v>
      </c>
      <c r="K20" s="15">
        <v>322.48</v>
      </c>
      <c r="L20" s="15">
        <v>329.38</v>
      </c>
      <c r="M20" s="15">
        <v>232.48</v>
      </c>
      <c r="N20" s="15">
        <v>290.32</v>
      </c>
      <c r="O20" s="15">
        <v>328.54</v>
      </c>
      <c r="P20" s="15">
        <v>317.95999999999998</v>
      </c>
      <c r="Q20" s="15">
        <v>340.24</v>
      </c>
      <c r="R20" s="15">
        <v>297.56</v>
      </c>
      <c r="S20" s="28">
        <v>323.7</v>
      </c>
      <c r="T20" s="28">
        <v>279.72000000000003</v>
      </c>
      <c r="U20" s="28">
        <v>316.76</v>
      </c>
      <c r="V20" s="15">
        <v>293.39999999999998</v>
      </c>
      <c r="W20" s="15">
        <v>356.22</v>
      </c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</row>
    <row r="21" spans="1:35" s="3" customFormat="1" ht="24.95" customHeight="1">
      <c r="A21" s="62"/>
      <c r="B21" s="13" t="s">
        <v>53</v>
      </c>
      <c r="C21" s="7">
        <f>D21+'9月'!C21</f>
        <v>2381.58</v>
      </c>
      <c r="D21" s="7">
        <f t="shared" si="6"/>
        <v>2381.58</v>
      </c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28"/>
      <c r="T21" s="28"/>
      <c r="U21" s="28"/>
      <c r="V21" s="15"/>
      <c r="W21" s="15"/>
      <c r="X21" s="15">
        <v>200.42</v>
      </c>
      <c r="Y21" s="15">
        <v>308.86</v>
      </c>
      <c r="Z21" s="15">
        <v>298.32</v>
      </c>
      <c r="AA21" s="15">
        <v>363.14</v>
      </c>
      <c r="AB21" s="15">
        <v>325.04000000000002</v>
      </c>
      <c r="AC21" s="15">
        <v>264.02</v>
      </c>
      <c r="AD21" s="15">
        <v>341.38</v>
      </c>
      <c r="AE21" s="15">
        <v>280.39999999999998</v>
      </c>
      <c r="AF21" s="15"/>
      <c r="AG21" s="15"/>
      <c r="AH21" s="15"/>
      <c r="AI21" s="15"/>
    </row>
    <row r="22" spans="1:35" s="3" customFormat="1" ht="24.95" customHeight="1">
      <c r="A22" s="62"/>
      <c r="B22" s="13" t="s">
        <v>54</v>
      </c>
      <c r="C22" s="7">
        <f>D22+'9月'!C22</f>
        <v>1168.5199999999998</v>
      </c>
      <c r="D22" s="7">
        <f t="shared" si="6"/>
        <v>1168.5199999999998</v>
      </c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28"/>
      <c r="T22" s="28"/>
      <c r="U22" s="28"/>
      <c r="V22" s="15"/>
      <c r="W22" s="15"/>
      <c r="X22" s="15">
        <v>127.96</v>
      </c>
      <c r="Y22" s="15">
        <v>159.06</v>
      </c>
      <c r="Z22" s="15">
        <v>171.22</v>
      </c>
      <c r="AA22" s="15">
        <v>130.30000000000001</v>
      </c>
      <c r="AB22" s="15">
        <v>144.82</v>
      </c>
      <c r="AC22" s="15">
        <v>154.24</v>
      </c>
      <c r="AD22" s="15">
        <v>159.06</v>
      </c>
      <c r="AE22" s="15">
        <v>121.86</v>
      </c>
      <c r="AF22" s="15"/>
      <c r="AG22" s="15"/>
      <c r="AH22" s="15"/>
      <c r="AI22" s="15"/>
    </row>
    <row r="23" spans="1:35" s="3" customFormat="1" ht="22.15" customHeight="1">
      <c r="A23" s="62"/>
      <c r="B23" s="13" t="s">
        <v>55</v>
      </c>
      <c r="C23" s="7">
        <f>D23+'9月'!C23</f>
        <v>0</v>
      </c>
      <c r="D23" s="7">
        <f t="shared" si="6"/>
        <v>0</v>
      </c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28"/>
      <c r="T23" s="28"/>
      <c r="U23" s="28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</row>
    <row r="24" spans="1:35" s="3" customFormat="1" ht="22.15" customHeight="1">
      <c r="A24" s="62"/>
      <c r="B24" s="13" t="s">
        <v>56</v>
      </c>
      <c r="C24" s="7">
        <f>D24+'9月'!C24</f>
        <v>11611.08</v>
      </c>
      <c r="D24" s="7">
        <f t="shared" si="6"/>
        <v>0</v>
      </c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28"/>
      <c r="T24" s="28"/>
      <c r="U24" s="28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</row>
    <row r="25" spans="1:35" s="3" customFormat="1" ht="21.75" customHeight="1">
      <c r="A25" s="62"/>
      <c r="B25" s="13" t="s">
        <v>57</v>
      </c>
      <c r="C25" s="7">
        <f>D25+'9月'!C25</f>
        <v>96319.72</v>
      </c>
      <c r="D25" s="7">
        <f t="shared" si="6"/>
        <v>6271.0599999999995</v>
      </c>
      <c r="E25" s="15">
        <v>227.02</v>
      </c>
      <c r="F25" s="15">
        <v>404.28</v>
      </c>
      <c r="G25" s="15">
        <v>387.98</v>
      </c>
      <c r="H25" s="15">
        <v>371.16</v>
      </c>
      <c r="I25" s="15">
        <v>248.46</v>
      </c>
      <c r="J25" s="15">
        <v>387.2</v>
      </c>
      <c r="K25" s="15">
        <v>351.64</v>
      </c>
      <c r="L25" s="15">
        <v>251.54</v>
      </c>
      <c r="M25" s="15">
        <v>299.16000000000003</v>
      </c>
      <c r="N25" s="15">
        <v>362.62</v>
      </c>
      <c r="O25" s="15">
        <v>307.88</v>
      </c>
      <c r="P25" s="15">
        <v>340</v>
      </c>
      <c r="Q25" s="15">
        <v>340.84</v>
      </c>
      <c r="R25" s="15">
        <v>317.12</v>
      </c>
      <c r="S25" s="28">
        <v>355.14</v>
      </c>
      <c r="T25" s="28">
        <v>345.7</v>
      </c>
      <c r="U25" s="28">
        <v>361.88</v>
      </c>
      <c r="V25" s="15">
        <v>350.46</v>
      </c>
      <c r="W25" s="15">
        <v>260.98</v>
      </c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</row>
    <row r="26" spans="1:35" s="3" customFormat="1" ht="18" customHeight="1">
      <c r="A26" s="62"/>
      <c r="B26" s="13" t="s">
        <v>58</v>
      </c>
      <c r="C26" s="7">
        <f>D26+'9月'!C26</f>
        <v>21322.779999999995</v>
      </c>
      <c r="D26" s="7">
        <f t="shared" si="6"/>
        <v>2041.7599999999998</v>
      </c>
      <c r="E26" s="15">
        <v>74.72</v>
      </c>
      <c r="F26" s="15">
        <v>82.42</v>
      </c>
      <c r="G26" s="15">
        <v>63.74</v>
      </c>
      <c r="H26" s="15">
        <v>80.28</v>
      </c>
      <c r="I26" s="15">
        <v>80.28</v>
      </c>
      <c r="J26" s="15">
        <v>70.38</v>
      </c>
      <c r="K26" s="15">
        <v>77.88</v>
      </c>
      <c r="L26" s="15">
        <v>72.739999999999995</v>
      </c>
      <c r="M26" s="15">
        <v>71.94</v>
      </c>
      <c r="N26" s="15">
        <v>66.959999999999994</v>
      </c>
      <c r="O26" s="15">
        <v>82.4</v>
      </c>
      <c r="P26" s="15">
        <v>75.02</v>
      </c>
      <c r="Q26" s="15">
        <v>61.92</v>
      </c>
      <c r="R26" s="15">
        <v>100.64</v>
      </c>
      <c r="S26" s="15">
        <v>75.319999999999993</v>
      </c>
      <c r="T26" s="28">
        <v>80.86</v>
      </c>
      <c r="U26" s="28">
        <v>69.28</v>
      </c>
      <c r="V26" s="15">
        <v>90.26</v>
      </c>
      <c r="W26" s="15">
        <v>80.42</v>
      </c>
      <c r="X26" s="15">
        <v>73.12</v>
      </c>
      <c r="Y26" s="15">
        <v>82.42</v>
      </c>
      <c r="Z26" s="15">
        <v>73.08</v>
      </c>
      <c r="AA26" s="15">
        <v>76.52</v>
      </c>
      <c r="AB26" s="15">
        <v>69.48</v>
      </c>
      <c r="AC26" s="15">
        <v>72.760000000000005</v>
      </c>
      <c r="AD26" s="15">
        <v>71.84</v>
      </c>
      <c r="AE26" s="15">
        <v>65.08</v>
      </c>
      <c r="AF26" s="15"/>
      <c r="AG26" s="15"/>
      <c r="AH26" s="15"/>
      <c r="AI26" s="15"/>
    </row>
    <row r="27" spans="1:35" s="3" customFormat="1" ht="18" customHeight="1">
      <c r="A27" s="62"/>
      <c r="B27" s="16" t="s">
        <v>59</v>
      </c>
      <c r="C27" s="7">
        <f>D27+'9月'!C27</f>
        <v>0</v>
      </c>
      <c r="D27" s="7">
        <f t="shared" si="6"/>
        <v>0</v>
      </c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28"/>
      <c r="U27" s="28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</row>
    <row r="28" spans="1:35" s="3" customFormat="1" ht="18" customHeight="1">
      <c r="A28" s="62"/>
      <c r="B28" s="16" t="s">
        <v>60</v>
      </c>
      <c r="C28" s="7">
        <f>D28+'9月'!C28</f>
        <v>0</v>
      </c>
      <c r="D28" s="7">
        <f t="shared" si="6"/>
        <v>0</v>
      </c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28"/>
      <c r="U28" s="28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</row>
    <row r="29" spans="1:35" s="3" customFormat="1" ht="18" hidden="1" customHeight="1">
      <c r="A29" s="63"/>
      <c r="B29" s="16"/>
      <c r="C29" s="7">
        <f>D29+'9月'!C29</f>
        <v>0</v>
      </c>
      <c r="D29" s="7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</row>
    <row r="30" spans="1:35" s="3" customFormat="1" ht="26.1" customHeight="1">
      <c r="A30" s="12"/>
      <c r="B30" s="12" t="s">
        <v>61</v>
      </c>
      <c r="C30" s="7">
        <f>D30+'9月'!C30</f>
        <v>230819.81999999998</v>
      </c>
      <c r="D30" s="7">
        <f>SUM(D19:D29)</f>
        <v>17810.400000000001</v>
      </c>
      <c r="E30" s="7">
        <f t="shared" ref="E30:AI30" si="7">SUM(E19:E29)</f>
        <v>653.24</v>
      </c>
      <c r="F30" s="7">
        <f t="shared" si="7"/>
        <v>790.18</v>
      </c>
      <c r="G30" s="7">
        <f t="shared" si="7"/>
        <v>775.78</v>
      </c>
      <c r="H30" s="7">
        <f t="shared" si="7"/>
        <v>784</v>
      </c>
      <c r="I30" s="7">
        <f t="shared" si="7"/>
        <v>629.17999999999995</v>
      </c>
      <c r="J30" s="7">
        <f t="shared" si="7"/>
        <v>764.26</v>
      </c>
      <c r="K30" s="7">
        <f t="shared" si="7"/>
        <v>752</v>
      </c>
      <c r="L30" s="7">
        <f t="shared" si="7"/>
        <v>653.66</v>
      </c>
      <c r="M30" s="7">
        <f t="shared" si="7"/>
        <v>603.57999999999993</v>
      </c>
      <c r="N30" s="7">
        <f t="shared" si="7"/>
        <v>719.90000000000009</v>
      </c>
      <c r="O30" s="7">
        <f t="shared" si="7"/>
        <v>718.82</v>
      </c>
      <c r="P30" s="7">
        <f t="shared" si="7"/>
        <v>732.98</v>
      </c>
      <c r="Q30" s="7">
        <f t="shared" si="7"/>
        <v>742.99999999999989</v>
      </c>
      <c r="R30" s="7">
        <f t="shared" si="7"/>
        <v>715.32</v>
      </c>
      <c r="S30" s="7">
        <f t="shared" si="7"/>
        <v>754.15999999999985</v>
      </c>
      <c r="T30" s="7">
        <f t="shared" si="7"/>
        <v>706.28000000000009</v>
      </c>
      <c r="U30" s="7">
        <f t="shared" si="7"/>
        <v>747.92</v>
      </c>
      <c r="V30" s="7">
        <f t="shared" si="7"/>
        <v>734.11999999999989</v>
      </c>
      <c r="W30" s="7">
        <f t="shared" si="7"/>
        <v>697.62</v>
      </c>
      <c r="X30" s="7">
        <f t="shared" si="7"/>
        <v>401.5</v>
      </c>
      <c r="Y30" s="7">
        <f t="shared" si="7"/>
        <v>550.34</v>
      </c>
      <c r="Z30" s="7">
        <f t="shared" si="7"/>
        <v>542.62</v>
      </c>
      <c r="AA30" s="7">
        <f t="shared" si="7"/>
        <v>569.96</v>
      </c>
      <c r="AB30" s="7">
        <f t="shared" si="7"/>
        <v>539.34</v>
      </c>
      <c r="AC30" s="7">
        <f t="shared" si="7"/>
        <v>491.02</v>
      </c>
      <c r="AD30" s="7">
        <f t="shared" si="7"/>
        <v>572.28</v>
      </c>
      <c r="AE30" s="7">
        <f t="shared" si="7"/>
        <v>467.34</v>
      </c>
      <c r="AF30" s="7">
        <f t="shared" si="7"/>
        <v>0</v>
      </c>
      <c r="AG30" s="7">
        <f t="shared" si="7"/>
        <v>0</v>
      </c>
      <c r="AH30" s="7">
        <f t="shared" si="7"/>
        <v>0</v>
      </c>
      <c r="AI30" s="7">
        <f t="shared" si="7"/>
        <v>0</v>
      </c>
    </row>
    <row r="31" spans="1:35" s="3" customFormat="1" ht="24.95" customHeight="1">
      <c r="A31" s="57" t="s">
        <v>62</v>
      </c>
      <c r="B31" s="7" t="s">
        <v>63</v>
      </c>
      <c r="C31" s="7">
        <f>D31+'9月'!C31</f>
        <v>41519.72</v>
      </c>
      <c r="D31" s="7">
        <f t="shared" ref="D31:D37" si="8">SUM(E31:AI31)</f>
        <v>3128.2599999999998</v>
      </c>
      <c r="E31" s="17">
        <v>128.24</v>
      </c>
      <c r="F31" s="17">
        <v>174.04</v>
      </c>
      <c r="G31" s="17">
        <v>185.36</v>
      </c>
      <c r="H31" s="18">
        <v>158.4</v>
      </c>
      <c r="I31" s="17">
        <v>203.78</v>
      </c>
      <c r="J31" s="17">
        <v>0</v>
      </c>
      <c r="K31" s="17">
        <v>111.16</v>
      </c>
      <c r="L31" s="17">
        <v>88.54</v>
      </c>
      <c r="M31" s="17">
        <v>65.84</v>
      </c>
      <c r="N31" s="17">
        <v>127.96</v>
      </c>
      <c r="O31" s="27">
        <v>131.24</v>
      </c>
      <c r="P31" s="7">
        <v>0</v>
      </c>
      <c r="Q31" s="7">
        <v>207.08</v>
      </c>
      <c r="R31" s="7">
        <v>143.18</v>
      </c>
      <c r="S31" s="7">
        <v>251.54</v>
      </c>
      <c r="T31" s="7">
        <v>164.62</v>
      </c>
      <c r="U31" s="29">
        <v>231.88</v>
      </c>
      <c r="V31" s="7">
        <v>165.6</v>
      </c>
      <c r="W31" s="7">
        <v>139.18</v>
      </c>
      <c r="X31" s="7">
        <v>0</v>
      </c>
      <c r="Y31" s="7">
        <v>0</v>
      </c>
      <c r="Z31" s="7">
        <v>160.41999999999999</v>
      </c>
      <c r="AA31" s="7">
        <v>63</v>
      </c>
      <c r="AB31" s="29">
        <v>0</v>
      </c>
      <c r="AC31" s="29">
        <v>0</v>
      </c>
      <c r="AD31" s="29">
        <v>67.64</v>
      </c>
      <c r="AE31" s="29">
        <v>112.38</v>
      </c>
      <c r="AF31" s="29">
        <v>47.18</v>
      </c>
      <c r="AG31" s="29">
        <v>0</v>
      </c>
      <c r="AH31" s="29">
        <v>0</v>
      </c>
      <c r="AI31" s="7">
        <v>0</v>
      </c>
    </row>
    <row r="32" spans="1:35" s="3" customFormat="1" ht="24.95" customHeight="1">
      <c r="A32" s="57"/>
      <c r="B32" s="7" t="s">
        <v>64</v>
      </c>
      <c r="C32" s="7">
        <f>D32+'9月'!C32</f>
        <v>5448.36</v>
      </c>
      <c r="D32" s="7">
        <f t="shared" si="8"/>
        <v>446.61999999999995</v>
      </c>
      <c r="E32" s="17">
        <v>10.46</v>
      </c>
      <c r="F32" s="17">
        <v>29.12</v>
      </c>
      <c r="G32" s="17">
        <v>11.08</v>
      </c>
      <c r="H32" s="19">
        <v>21.76</v>
      </c>
      <c r="I32" s="17">
        <v>12.4</v>
      </c>
      <c r="J32" s="17">
        <v>29.24</v>
      </c>
      <c r="K32" s="17">
        <v>12.68</v>
      </c>
      <c r="L32" s="17">
        <v>20.28</v>
      </c>
      <c r="M32" s="17">
        <v>22.2</v>
      </c>
      <c r="N32" s="17">
        <v>22.64</v>
      </c>
      <c r="O32" s="27">
        <v>12.2</v>
      </c>
      <c r="P32" s="7">
        <v>23.62</v>
      </c>
      <c r="Q32" s="7">
        <v>12.32</v>
      </c>
      <c r="R32" s="7">
        <v>12.66</v>
      </c>
      <c r="S32" s="7">
        <v>33.58</v>
      </c>
      <c r="T32" s="7">
        <v>12.04</v>
      </c>
      <c r="U32" s="7">
        <v>22.9</v>
      </c>
      <c r="V32" s="7">
        <v>25.58</v>
      </c>
      <c r="W32" s="7">
        <v>12.12</v>
      </c>
      <c r="X32" s="7">
        <v>11.3</v>
      </c>
      <c r="Y32" s="7">
        <v>14.02</v>
      </c>
      <c r="Z32" s="7">
        <v>12.7</v>
      </c>
      <c r="AA32" s="7">
        <v>14.1</v>
      </c>
      <c r="AB32" s="20">
        <v>12.56</v>
      </c>
      <c r="AC32" s="20">
        <v>11.28</v>
      </c>
      <c r="AD32" s="20">
        <v>11.78</v>
      </c>
      <c r="AE32" s="20">
        <v>0</v>
      </c>
      <c r="AF32" s="20">
        <v>0</v>
      </c>
      <c r="AG32" s="20">
        <v>0</v>
      </c>
      <c r="AH32" s="20">
        <v>0</v>
      </c>
      <c r="AI32" s="7">
        <v>0</v>
      </c>
    </row>
    <row r="33" spans="1:35" s="3" customFormat="1" ht="24.95" customHeight="1">
      <c r="A33" s="57"/>
      <c r="B33" s="6" t="s">
        <v>65</v>
      </c>
      <c r="C33" s="7">
        <f>D33+'9月'!C33</f>
        <v>19146</v>
      </c>
      <c r="D33" s="7">
        <f t="shared" si="8"/>
        <v>1555</v>
      </c>
      <c r="E33" s="7">
        <v>173</v>
      </c>
      <c r="F33" s="7">
        <v>0</v>
      </c>
      <c r="G33" s="7">
        <v>0</v>
      </c>
      <c r="H33" s="7">
        <v>153</v>
      </c>
      <c r="I33" s="7">
        <v>0</v>
      </c>
      <c r="J33" s="7">
        <v>190</v>
      </c>
      <c r="K33" s="7">
        <v>0</v>
      </c>
      <c r="L33" s="7">
        <v>116</v>
      </c>
      <c r="M33" s="7">
        <v>0</v>
      </c>
      <c r="N33" s="7">
        <v>0</v>
      </c>
      <c r="O33" s="7">
        <v>45</v>
      </c>
      <c r="P33" s="7">
        <v>247</v>
      </c>
      <c r="Q33" s="7">
        <v>0</v>
      </c>
      <c r="R33" s="7">
        <v>0</v>
      </c>
      <c r="S33" s="7">
        <v>183</v>
      </c>
      <c r="T33" s="7">
        <v>0</v>
      </c>
      <c r="U33" s="7">
        <v>111</v>
      </c>
      <c r="V33" s="7">
        <v>0</v>
      </c>
      <c r="W33" s="7">
        <v>0</v>
      </c>
      <c r="X33" s="7">
        <v>116</v>
      </c>
      <c r="Y33" s="7">
        <v>0</v>
      </c>
      <c r="Z33" s="7">
        <v>0</v>
      </c>
      <c r="AA33" s="7">
        <v>78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143</v>
      </c>
      <c r="AH33" s="7">
        <v>0</v>
      </c>
      <c r="AI33" s="7">
        <v>0</v>
      </c>
    </row>
    <row r="34" spans="1:35" s="3" customFormat="1" ht="24.95" customHeight="1">
      <c r="A34" s="57"/>
      <c r="B34" s="7" t="s">
        <v>66</v>
      </c>
      <c r="C34" s="7">
        <f>D34+'9月'!C34</f>
        <v>71131</v>
      </c>
      <c r="D34" s="7">
        <f t="shared" si="8"/>
        <v>4875</v>
      </c>
      <c r="E34" s="7">
        <v>222</v>
      </c>
      <c r="F34" s="7">
        <v>212</v>
      </c>
      <c r="G34" s="7">
        <v>204</v>
      </c>
      <c r="H34" s="7">
        <v>237</v>
      </c>
      <c r="I34" s="7">
        <v>260</v>
      </c>
      <c r="J34" s="7">
        <v>189</v>
      </c>
      <c r="K34" s="7">
        <v>202</v>
      </c>
      <c r="L34" s="7">
        <v>222</v>
      </c>
      <c r="M34" s="7">
        <v>216</v>
      </c>
      <c r="N34" s="7">
        <v>209</v>
      </c>
      <c r="O34" s="7">
        <v>230</v>
      </c>
      <c r="P34" s="7">
        <v>173</v>
      </c>
      <c r="Q34" s="7">
        <v>0</v>
      </c>
      <c r="R34" s="7">
        <v>0</v>
      </c>
      <c r="S34" s="7">
        <v>91</v>
      </c>
      <c r="T34" s="7">
        <v>111</v>
      </c>
      <c r="U34" s="7">
        <v>215</v>
      </c>
      <c r="V34" s="7">
        <v>132</v>
      </c>
      <c r="W34" s="7">
        <v>215</v>
      </c>
      <c r="X34" s="7">
        <v>144</v>
      </c>
      <c r="Y34" s="7">
        <v>82</v>
      </c>
      <c r="Z34" s="7">
        <v>0</v>
      </c>
      <c r="AA34" s="7">
        <v>107</v>
      </c>
      <c r="AB34" s="7">
        <v>197</v>
      </c>
      <c r="AC34" s="7">
        <v>153</v>
      </c>
      <c r="AD34" s="7">
        <v>227</v>
      </c>
      <c r="AE34" s="7">
        <v>127</v>
      </c>
      <c r="AF34" s="7">
        <v>98</v>
      </c>
      <c r="AG34" s="7">
        <v>202</v>
      </c>
      <c r="AH34" s="7">
        <v>131</v>
      </c>
      <c r="AI34" s="7">
        <v>67</v>
      </c>
    </row>
    <row r="35" spans="1:35" s="3" customFormat="1" ht="24.95" customHeight="1">
      <c r="A35" s="58" t="s">
        <v>67</v>
      </c>
      <c r="B35" s="7" t="s">
        <v>68</v>
      </c>
      <c r="C35" s="7">
        <f>D35+'9月'!C35</f>
        <v>490.18</v>
      </c>
      <c r="D35" s="7">
        <f t="shared" si="8"/>
        <v>33.537999999999997</v>
      </c>
      <c r="E35" s="31">
        <v>1.5189999999999999</v>
      </c>
      <c r="F35" s="31">
        <v>1.532</v>
      </c>
      <c r="G35" s="31">
        <v>1.52</v>
      </c>
      <c r="H35" s="32">
        <v>1.518</v>
      </c>
      <c r="I35" s="32">
        <v>1.5389999999999999</v>
      </c>
      <c r="J35" s="32">
        <v>1.4079999999999999</v>
      </c>
      <c r="K35" s="32">
        <v>1.609</v>
      </c>
      <c r="L35" s="32">
        <v>1.5089999999999999</v>
      </c>
      <c r="M35" s="32">
        <v>1.5349999999999999</v>
      </c>
      <c r="N35" s="32">
        <v>1.575</v>
      </c>
      <c r="O35" s="34">
        <v>1.5940000000000001</v>
      </c>
      <c r="P35" s="32">
        <v>1.6040000000000001</v>
      </c>
      <c r="Q35" s="32">
        <v>1.609</v>
      </c>
      <c r="R35" s="32">
        <v>1.5780000000000001</v>
      </c>
      <c r="S35" s="32">
        <v>1.593</v>
      </c>
      <c r="T35" s="32">
        <v>1.6220000000000001</v>
      </c>
      <c r="U35" s="34">
        <v>1.677</v>
      </c>
      <c r="V35" s="32">
        <v>1.65</v>
      </c>
      <c r="W35" s="32">
        <v>1.4</v>
      </c>
      <c r="X35" s="32">
        <v>0.39900000000000002</v>
      </c>
      <c r="Y35" s="32">
        <v>0.71599999999999997</v>
      </c>
      <c r="Z35" s="32">
        <v>0.63400000000000001</v>
      </c>
      <c r="AA35" s="32">
        <v>0.55300000000000005</v>
      </c>
      <c r="AB35" s="32">
        <v>0.58299999999999996</v>
      </c>
      <c r="AC35" s="32">
        <v>0.57499999999999996</v>
      </c>
      <c r="AD35" s="32">
        <v>0.33</v>
      </c>
      <c r="AE35" s="32">
        <v>0</v>
      </c>
      <c r="AF35" s="32">
        <v>0</v>
      </c>
      <c r="AG35" s="35">
        <v>0</v>
      </c>
      <c r="AH35" s="32">
        <v>0</v>
      </c>
      <c r="AI35" s="32">
        <v>0.157</v>
      </c>
    </row>
    <row r="36" spans="1:35" s="3" customFormat="1" ht="24.95" customHeight="1">
      <c r="A36" s="59"/>
      <c r="B36" s="7" t="s">
        <v>69</v>
      </c>
      <c r="C36" s="7">
        <f>D36+'9月'!C36</f>
        <v>2098.0960000000009</v>
      </c>
      <c r="D36" s="7">
        <f t="shared" si="8"/>
        <v>178.26399999999995</v>
      </c>
      <c r="E36" s="33">
        <v>7.835</v>
      </c>
      <c r="F36" s="33">
        <v>7.835</v>
      </c>
      <c r="G36" s="33">
        <v>7.835</v>
      </c>
      <c r="H36" s="33">
        <v>7.835</v>
      </c>
      <c r="I36" s="33">
        <v>7.835</v>
      </c>
      <c r="J36" s="33">
        <v>7.835</v>
      </c>
      <c r="K36" s="33">
        <v>7.835</v>
      </c>
      <c r="L36" s="33">
        <v>7.835</v>
      </c>
      <c r="M36" s="33">
        <v>7.835</v>
      </c>
      <c r="N36" s="33">
        <v>7.835</v>
      </c>
      <c r="O36" s="33">
        <v>7.835</v>
      </c>
      <c r="P36" s="33">
        <v>7.835</v>
      </c>
      <c r="Q36" s="33">
        <v>7.835</v>
      </c>
      <c r="R36" s="33">
        <v>7.835</v>
      </c>
      <c r="S36" s="33">
        <v>7.835</v>
      </c>
      <c r="T36" s="33">
        <v>7.835</v>
      </c>
      <c r="U36" s="33">
        <v>7.835</v>
      </c>
      <c r="V36" s="33">
        <v>7.835</v>
      </c>
      <c r="W36" s="33">
        <v>7.835</v>
      </c>
      <c r="X36" s="33">
        <v>3.919</v>
      </c>
      <c r="Y36" s="33">
        <v>4.415</v>
      </c>
      <c r="Z36" s="33">
        <v>4.415</v>
      </c>
      <c r="AA36" s="33">
        <v>4.415</v>
      </c>
      <c r="AB36" s="33">
        <v>4.415</v>
      </c>
      <c r="AC36" s="33">
        <v>4.415</v>
      </c>
      <c r="AD36" s="33">
        <v>2.1</v>
      </c>
      <c r="AE36" s="32">
        <v>0</v>
      </c>
      <c r="AF36" s="32">
        <v>0</v>
      </c>
      <c r="AG36" s="35">
        <v>0</v>
      </c>
      <c r="AH36" s="33">
        <v>0</v>
      </c>
      <c r="AI36" s="33">
        <v>1.3049999999999999</v>
      </c>
    </row>
    <row r="37" spans="1:35" s="3" customFormat="1" ht="24.95" customHeight="1">
      <c r="A37" s="60"/>
      <c r="B37" s="7" t="s">
        <v>70</v>
      </c>
      <c r="C37" s="7">
        <f>D37+'9月'!C37</f>
        <v>91.024000000000029</v>
      </c>
      <c r="D37" s="7">
        <f t="shared" si="8"/>
        <v>6.2969999999999997</v>
      </c>
      <c r="E37" s="33">
        <v>0.32</v>
      </c>
      <c r="F37" s="33">
        <v>0.32</v>
      </c>
      <c r="G37" s="33">
        <v>0.32</v>
      </c>
      <c r="H37" s="33">
        <v>0.32</v>
      </c>
      <c r="I37" s="33">
        <v>0.32</v>
      </c>
      <c r="J37" s="33">
        <v>0.32</v>
      </c>
      <c r="K37" s="33">
        <v>0.32</v>
      </c>
      <c r="L37" s="33">
        <v>0.32</v>
      </c>
      <c r="M37" s="33">
        <v>0.32</v>
      </c>
      <c r="N37" s="33">
        <v>0.32</v>
      </c>
      <c r="O37" s="33">
        <v>0.32</v>
      </c>
      <c r="P37" s="33">
        <v>0.32</v>
      </c>
      <c r="Q37" s="33">
        <v>0.32</v>
      </c>
      <c r="R37" s="33">
        <v>0.32</v>
      </c>
      <c r="S37" s="33">
        <v>0.22</v>
      </c>
      <c r="T37" s="33">
        <v>0.22</v>
      </c>
      <c r="U37" s="33">
        <v>0.22</v>
      </c>
      <c r="V37" s="33">
        <v>0.22</v>
      </c>
      <c r="W37" s="33">
        <v>0.22</v>
      </c>
      <c r="X37" s="33">
        <v>7.0000000000000007E-2</v>
      </c>
      <c r="Y37" s="33">
        <v>0.11</v>
      </c>
      <c r="Z37" s="33">
        <v>0.11</v>
      </c>
      <c r="AA37" s="33">
        <v>0.11</v>
      </c>
      <c r="AB37" s="33">
        <v>0.11</v>
      </c>
      <c r="AC37" s="33">
        <v>0.11</v>
      </c>
      <c r="AD37" s="33">
        <v>0.06</v>
      </c>
      <c r="AE37" s="32">
        <v>0</v>
      </c>
      <c r="AF37" s="32">
        <v>0</v>
      </c>
      <c r="AG37" s="35">
        <v>0</v>
      </c>
      <c r="AH37" s="33">
        <v>0</v>
      </c>
      <c r="AI37" s="33">
        <v>3.6999999999999998E-2</v>
      </c>
    </row>
    <row r="38" spans="1:35" s="1" customFormat="1" ht="18" customHeight="1">
      <c r="B38" s="22" t="s">
        <v>71</v>
      </c>
      <c r="C38" s="23">
        <f>C31/C5</f>
        <v>0.19021024512640225</v>
      </c>
      <c r="D38" s="23">
        <f>D31/D5</f>
        <v>0.18923025738741189</v>
      </c>
      <c r="G38" s="24"/>
    </row>
    <row r="39" spans="1:35" s="1" customFormat="1" ht="18" customHeight="1">
      <c r="B39" s="22" t="s">
        <v>72</v>
      </c>
      <c r="C39" s="23">
        <f>C32/C5</f>
        <v>2.4960040461180489E-2</v>
      </c>
      <c r="D39" s="23">
        <f>D32/D5</f>
        <v>2.7016302210930643E-2</v>
      </c>
      <c r="G39" s="24"/>
    </row>
    <row r="40" spans="1:35" s="1" customFormat="1" ht="18" customHeight="1">
      <c r="B40" s="22" t="s">
        <v>73</v>
      </c>
      <c r="C40" s="23">
        <f>C33/C5</f>
        <v>8.7711703094098356E-2</v>
      </c>
      <c r="D40" s="23">
        <f>D33/D5</f>
        <v>9.4062849711157484E-2</v>
      </c>
      <c r="G40" s="24"/>
    </row>
    <row r="41" spans="1:35">
      <c r="G41" s="25"/>
    </row>
    <row r="42" spans="1:35">
      <c r="G42" s="25"/>
    </row>
    <row r="43" spans="1:35">
      <c r="G43" s="25"/>
    </row>
    <row r="44" spans="1:35">
      <c r="G44" s="25"/>
    </row>
    <row r="45" spans="1:35">
      <c r="G45" s="25"/>
    </row>
    <row r="46" spans="1:35">
      <c r="G46" s="25"/>
    </row>
    <row r="47" spans="1:35">
      <c r="G47" s="25"/>
    </row>
    <row r="48" spans="1:35">
      <c r="G48" s="25"/>
    </row>
    <row r="49" spans="7:7">
      <c r="G49" s="25"/>
    </row>
    <row r="50" spans="7:7">
      <c r="G50" s="25"/>
    </row>
    <row r="51" spans="7:7">
      <c r="G51" s="25"/>
    </row>
    <row r="52" spans="7:7">
      <c r="G52" s="25"/>
    </row>
    <row r="53" spans="7:7">
      <c r="G53" s="25"/>
    </row>
    <row r="54" spans="7:7">
      <c r="G54" s="25"/>
    </row>
    <row r="55" spans="7:7">
      <c r="G55" s="25"/>
    </row>
    <row r="56" spans="7:7">
      <c r="G56" s="25"/>
    </row>
    <row r="57" spans="7:7">
      <c r="G57" s="25"/>
    </row>
    <row r="58" spans="7:7">
      <c r="G58" s="25"/>
    </row>
    <row r="59" spans="7:7">
      <c r="G59" s="25"/>
    </row>
    <row r="60" spans="7:7">
      <c r="G60" s="25"/>
    </row>
    <row r="61" spans="7:7">
      <c r="G61" s="25"/>
    </row>
    <row r="62" spans="7:7">
      <c r="G62" s="25"/>
    </row>
    <row r="63" spans="7:7">
      <c r="G63" s="25"/>
    </row>
  </sheetData>
  <mergeCells count="10">
    <mergeCell ref="A35:A37"/>
    <mergeCell ref="A13:A15"/>
    <mergeCell ref="A16:A17"/>
    <mergeCell ref="A19:A29"/>
    <mergeCell ref="A31:A34"/>
    <mergeCell ref="A1:B1"/>
    <mergeCell ref="C1:AI1"/>
    <mergeCell ref="A3:A5"/>
    <mergeCell ref="A6:A8"/>
    <mergeCell ref="A9:A12"/>
  </mergeCells>
  <phoneticPr fontId="12" type="noConversion"/>
  <pageMargins left="0.69930555555555596" right="0.69930555555555596" top="0.75" bottom="0.75" header="0.3" footer="0.3"/>
  <pageSetup paperSize="8" scale="57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63"/>
  <sheetViews>
    <sheetView topLeftCell="A13" zoomScale="160" zoomScaleNormal="160" workbookViewId="0">
      <pane xSplit="4" topLeftCell="AB1" activePane="topRight" state="frozen"/>
      <selection pane="topRight" activeCell="AB39" sqref="AB39"/>
    </sheetView>
  </sheetViews>
  <sheetFormatPr defaultColWidth="9" defaultRowHeight="13.5"/>
  <cols>
    <col min="1" max="1" width="8.75" style="4" customWidth="1"/>
    <col min="2" max="2" width="13.625" style="4" customWidth="1"/>
    <col min="3" max="3" width="13.25" style="4" customWidth="1"/>
    <col min="4" max="4" width="10.5" style="4" customWidth="1"/>
    <col min="5" max="6" width="9" style="4"/>
    <col min="7" max="12" width="9" style="4" customWidth="1"/>
    <col min="13" max="13" width="10.875" style="4" customWidth="1"/>
    <col min="14" max="16" width="9" style="4" customWidth="1"/>
    <col min="17" max="17" width="11" style="4" customWidth="1"/>
    <col min="18" max="31" width="9" style="4" customWidth="1"/>
    <col min="32" max="32" width="9" style="4"/>
    <col min="33" max="33" width="9" style="4" customWidth="1"/>
    <col min="34" max="34" width="8.375" style="4" customWidth="1"/>
    <col min="35" max="35" width="9" style="4" hidden="1" customWidth="1"/>
    <col min="36" max="16384" width="9" style="4"/>
  </cols>
  <sheetData>
    <row r="1" spans="1:35" s="1" customFormat="1" ht="42.75" customHeight="1">
      <c r="A1" s="53">
        <v>44501</v>
      </c>
      <c r="B1" s="54"/>
      <c r="C1" s="55" t="s">
        <v>0</v>
      </c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55"/>
      <c r="X1" s="55"/>
      <c r="Y1" s="55"/>
      <c r="Z1" s="55"/>
      <c r="AA1" s="55"/>
      <c r="AB1" s="55"/>
      <c r="AC1" s="55"/>
      <c r="AD1" s="55"/>
      <c r="AE1" s="55"/>
      <c r="AF1" s="55"/>
      <c r="AG1" s="55"/>
      <c r="AH1" s="55"/>
      <c r="AI1" s="55"/>
    </row>
    <row r="2" spans="1:35" s="2" customFormat="1" ht="24.95" customHeight="1">
      <c r="A2" s="5"/>
      <c r="B2" s="5" t="s">
        <v>1</v>
      </c>
      <c r="C2" s="5" t="s">
        <v>2</v>
      </c>
      <c r="D2" s="5" t="s">
        <v>3</v>
      </c>
      <c r="E2" s="5" t="s">
        <v>4</v>
      </c>
      <c r="F2" s="5" t="s">
        <v>5</v>
      </c>
      <c r="G2" s="5" t="s">
        <v>6</v>
      </c>
      <c r="H2" s="5" t="s">
        <v>7</v>
      </c>
      <c r="I2" s="5" t="s">
        <v>8</v>
      </c>
      <c r="J2" s="5" t="s">
        <v>9</v>
      </c>
      <c r="K2" s="5" t="s">
        <v>10</v>
      </c>
      <c r="L2" s="5" t="s">
        <v>11</v>
      </c>
      <c r="M2" s="5" t="s">
        <v>12</v>
      </c>
      <c r="N2" s="5" t="s">
        <v>13</v>
      </c>
      <c r="O2" s="5" t="s">
        <v>14</v>
      </c>
      <c r="P2" s="5" t="s">
        <v>15</v>
      </c>
      <c r="Q2" s="5" t="s">
        <v>16</v>
      </c>
      <c r="R2" s="5" t="s">
        <v>17</v>
      </c>
      <c r="S2" s="5" t="s">
        <v>18</v>
      </c>
      <c r="T2" s="5" t="s">
        <v>19</v>
      </c>
      <c r="U2" s="5" t="s">
        <v>20</v>
      </c>
      <c r="V2" s="5" t="s">
        <v>21</v>
      </c>
      <c r="W2" s="5" t="s">
        <v>22</v>
      </c>
      <c r="X2" s="5" t="s">
        <v>23</v>
      </c>
      <c r="Y2" s="5" t="s">
        <v>24</v>
      </c>
      <c r="Z2" s="5" t="s">
        <v>25</v>
      </c>
      <c r="AA2" s="5" t="s">
        <v>26</v>
      </c>
      <c r="AB2" s="5" t="s">
        <v>27</v>
      </c>
      <c r="AC2" s="5" t="s">
        <v>28</v>
      </c>
      <c r="AD2" s="5" t="s">
        <v>29</v>
      </c>
      <c r="AE2" s="5" t="s">
        <v>30</v>
      </c>
      <c r="AF2" s="5" t="s">
        <v>31</v>
      </c>
      <c r="AG2" s="5" t="s">
        <v>32</v>
      </c>
      <c r="AH2" s="5" t="s">
        <v>33</v>
      </c>
      <c r="AI2" s="5" t="s">
        <v>34</v>
      </c>
    </row>
    <row r="3" spans="1:35" s="3" customFormat="1" ht="25.5" customHeight="1">
      <c r="A3" s="56" t="s">
        <v>35</v>
      </c>
      <c r="B3" s="7" t="s">
        <v>36</v>
      </c>
      <c r="C3" s="7">
        <f>D3+'10月'!C3</f>
        <v>112721.79999999997</v>
      </c>
      <c r="D3" s="7">
        <f>SUM(E3:AI3)</f>
        <v>11411.2</v>
      </c>
      <c r="E3" s="7">
        <v>390.6</v>
      </c>
      <c r="F3" s="7">
        <v>401.8</v>
      </c>
      <c r="G3" s="7">
        <v>363.1</v>
      </c>
      <c r="H3" s="7">
        <v>357.4</v>
      </c>
      <c r="I3" s="7">
        <v>370.1</v>
      </c>
      <c r="J3" s="7">
        <v>345.2</v>
      </c>
      <c r="K3" s="7">
        <v>371.5</v>
      </c>
      <c r="L3" s="7">
        <v>366.6</v>
      </c>
      <c r="M3" s="7">
        <v>379.8</v>
      </c>
      <c r="N3" s="7">
        <v>380.8</v>
      </c>
      <c r="O3" s="7">
        <v>375.1</v>
      </c>
      <c r="P3" s="7">
        <v>364.6</v>
      </c>
      <c r="Q3" s="7">
        <v>363.4</v>
      </c>
      <c r="R3" s="7">
        <v>379</v>
      </c>
      <c r="S3" s="7">
        <v>375</v>
      </c>
      <c r="T3" s="7">
        <v>379.7</v>
      </c>
      <c r="U3" s="7">
        <v>394.2</v>
      </c>
      <c r="V3" s="7">
        <v>384.1</v>
      </c>
      <c r="W3" s="7">
        <v>406.6</v>
      </c>
      <c r="X3" s="7">
        <v>389.8</v>
      </c>
      <c r="Y3" s="7">
        <v>393.3</v>
      </c>
      <c r="Z3" s="7">
        <v>374.7</v>
      </c>
      <c r="AA3" s="7">
        <v>405.5</v>
      </c>
      <c r="AB3" s="7">
        <v>404.4</v>
      </c>
      <c r="AC3" s="7">
        <v>384.7</v>
      </c>
      <c r="AD3" s="7">
        <v>372.4</v>
      </c>
      <c r="AE3" s="7">
        <v>379.9</v>
      </c>
      <c r="AF3" s="7">
        <v>389.2</v>
      </c>
      <c r="AG3" s="7">
        <v>379.4</v>
      </c>
      <c r="AH3" s="7">
        <v>389.3</v>
      </c>
      <c r="AI3" s="30"/>
    </row>
    <row r="4" spans="1:35" s="3" customFormat="1" ht="26.25" customHeight="1">
      <c r="A4" s="56"/>
      <c r="B4" s="7" t="s">
        <v>37</v>
      </c>
      <c r="C4" s="7">
        <f>D4+'10月'!C4</f>
        <v>124017.70000000001</v>
      </c>
      <c r="D4" s="7">
        <f t="shared" ref="D4:D9" si="0">SUM(E4:AI4)</f>
        <v>7045.0000000000018</v>
      </c>
      <c r="E4" s="7">
        <v>0</v>
      </c>
      <c r="F4" s="7">
        <v>0</v>
      </c>
      <c r="G4" s="7">
        <v>0</v>
      </c>
      <c r="H4" s="7">
        <v>0</v>
      </c>
      <c r="I4" s="7">
        <v>0</v>
      </c>
      <c r="J4" s="7">
        <v>0</v>
      </c>
      <c r="K4" s="7">
        <v>0</v>
      </c>
      <c r="L4" s="7">
        <v>0</v>
      </c>
      <c r="M4" s="7">
        <v>0</v>
      </c>
      <c r="N4" s="7">
        <v>0</v>
      </c>
      <c r="O4" s="7">
        <v>0</v>
      </c>
      <c r="P4" s="7">
        <v>0</v>
      </c>
      <c r="Q4" s="7">
        <v>149.1</v>
      </c>
      <c r="R4" s="7">
        <v>372.6</v>
      </c>
      <c r="S4" s="7">
        <v>400.3</v>
      </c>
      <c r="T4" s="7">
        <v>398.9</v>
      </c>
      <c r="U4" s="7">
        <v>400.7</v>
      </c>
      <c r="V4" s="7">
        <v>411.1</v>
      </c>
      <c r="W4" s="7">
        <v>397.4</v>
      </c>
      <c r="X4" s="7">
        <v>405</v>
      </c>
      <c r="Y4" s="7">
        <v>403.8</v>
      </c>
      <c r="Z4" s="7">
        <v>400.4</v>
      </c>
      <c r="AA4" s="7">
        <v>418.6</v>
      </c>
      <c r="AB4" s="7">
        <v>407.6</v>
      </c>
      <c r="AC4" s="7">
        <v>421.1</v>
      </c>
      <c r="AD4" s="7">
        <v>402.6</v>
      </c>
      <c r="AE4" s="7">
        <v>400.9</v>
      </c>
      <c r="AF4" s="7">
        <v>450.6</v>
      </c>
      <c r="AG4" s="7">
        <v>399.7</v>
      </c>
      <c r="AH4" s="30">
        <v>404.6</v>
      </c>
      <c r="AI4" s="7"/>
    </row>
    <row r="5" spans="1:35" s="3" customFormat="1" ht="24.95" customHeight="1">
      <c r="A5" s="56"/>
      <c r="B5" s="7" t="s">
        <v>38</v>
      </c>
      <c r="C5" s="7">
        <f>D5+'10月'!C5</f>
        <v>236739.50000000003</v>
      </c>
      <c r="D5" s="7">
        <f t="shared" si="0"/>
        <v>18456.2</v>
      </c>
      <c r="E5" s="7">
        <f>E3+E4</f>
        <v>390.6</v>
      </c>
      <c r="F5" s="7">
        <f t="shared" ref="F5:AI5" si="1">F3+F4</f>
        <v>401.8</v>
      </c>
      <c r="G5" s="7">
        <f t="shared" si="1"/>
        <v>363.1</v>
      </c>
      <c r="H5" s="7">
        <f t="shared" si="1"/>
        <v>357.4</v>
      </c>
      <c r="I5" s="7">
        <f t="shared" si="1"/>
        <v>370.1</v>
      </c>
      <c r="J5" s="7">
        <f t="shared" si="1"/>
        <v>345.2</v>
      </c>
      <c r="K5" s="7">
        <f t="shared" si="1"/>
        <v>371.5</v>
      </c>
      <c r="L5" s="7">
        <f t="shared" si="1"/>
        <v>366.6</v>
      </c>
      <c r="M5" s="7">
        <f t="shared" si="1"/>
        <v>379.8</v>
      </c>
      <c r="N5" s="7">
        <f t="shared" si="1"/>
        <v>380.8</v>
      </c>
      <c r="O5" s="7">
        <f t="shared" si="1"/>
        <v>375.1</v>
      </c>
      <c r="P5" s="7">
        <f t="shared" si="1"/>
        <v>364.6</v>
      </c>
      <c r="Q5" s="7">
        <f t="shared" si="1"/>
        <v>512.5</v>
      </c>
      <c r="R5" s="7">
        <f t="shared" si="1"/>
        <v>751.6</v>
      </c>
      <c r="S5" s="7">
        <f t="shared" si="1"/>
        <v>775.3</v>
      </c>
      <c r="T5" s="7">
        <f t="shared" si="1"/>
        <v>778.59999999999991</v>
      </c>
      <c r="U5" s="7">
        <f t="shared" si="1"/>
        <v>794.9</v>
      </c>
      <c r="V5" s="7">
        <f t="shared" si="1"/>
        <v>795.2</v>
      </c>
      <c r="W5" s="7">
        <f t="shared" si="1"/>
        <v>804</v>
      </c>
      <c r="X5" s="7">
        <f t="shared" si="1"/>
        <v>794.8</v>
      </c>
      <c r="Y5" s="7">
        <f t="shared" si="1"/>
        <v>797.1</v>
      </c>
      <c r="Z5" s="7">
        <f t="shared" si="1"/>
        <v>775.09999999999991</v>
      </c>
      <c r="AA5" s="7">
        <f t="shared" si="1"/>
        <v>824.1</v>
      </c>
      <c r="AB5" s="7">
        <f t="shared" si="1"/>
        <v>812</v>
      </c>
      <c r="AC5" s="7">
        <f t="shared" si="1"/>
        <v>805.8</v>
      </c>
      <c r="AD5" s="7">
        <f t="shared" si="1"/>
        <v>775</v>
      </c>
      <c r="AE5" s="7">
        <f t="shared" si="1"/>
        <v>780.8</v>
      </c>
      <c r="AF5" s="7">
        <f t="shared" si="1"/>
        <v>839.8</v>
      </c>
      <c r="AG5" s="7">
        <f t="shared" si="1"/>
        <v>779.09999999999991</v>
      </c>
      <c r="AH5" s="7">
        <f t="shared" si="1"/>
        <v>793.90000000000009</v>
      </c>
      <c r="AI5" s="7">
        <f t="shared" si="1"/>
        <v>0</v>
      </c>
    </row>
    <row r="6" spans="1:35" s="3" customFormat="1" ht="24.95" customHeight="1">
      <c r="A6" s="56" t="s">
        <v>39</v>
      </c>
      <c r="B6" s="7" t="s">
        <v>40</v>
      </c>
      <c r="C6" s="7">
        <f>D6+'10月'!C6</f>
        <v>52236076</v>
      </c>
      <c r="D6" s="7">
        <f t="shared" si="0"/>
        <v>5296980</v>
      </c>
      <c r="E6" s="7">
        <v>163620</v>
      </c>
      <c r="F6" s="7">
        <v>173040</v>
      </c>
      <c r="G6" s="7">
        <v>162240</v>
      </c>
      <c r="H6" s="7">
        <v>164640</v>
      </c>
      <c r="I6" s="7">
        <v>169920</v>
      </c>
      <c r="J6" s="7">
        <v>171600</v>
      </c>
      <c r="K6" s="7">
        <v>171360</v>
      </c>
      <c r="L6" s="7">
        <v>170400</v>
      </c>
      <c r="M6" s="7">
        <v>176160</v>
      </c>
      <c r="N6" s="7">
        <v>163440</v>
      </c>
      <c r="O6" s="7">
        <v>160800</v>
      </c>
      <c r="P6" s="26">
        <v>159600</v>
      </c>
      <c r="Q6" s="7">
        <v>159120</v>
      </c>
      <c r="R6" s="7">
        <v>168480</v>
      </c>
      <c r="S6" s="7">
        <v>173520</v>
      </c>
      <c r="T6" s="7">
        <v>179760</v>
      </c>
      <c r="U6" s="26">
        <v>192480</v>
      </c>
      <c r="V6" s="7">
        <v>183600</v>
      </c>
      <c r="W6" s="7">
        <v>191280</v>
      </c>
      <c r="X6" s="7">
        <v>183840</v>
      </c>
      <c r="Y6" s="7">
        <v>180960</v>
      </c>
      <c r="Z6" s="7">
        <v>194400</v>
      </c>
      <c r="AA6" s="7">
        <v>181680</v>
      </c>
      <c r="AB6" s="7">
        <v>176160</v>
      </c>
      <c r="AC6" s="7">
        <v>184080</v>
      </c>
      <c r="AD6" s="7">
        <v>182880</v>
      </c>
      <c r="AE6" s="7">
        <v>185760</v>
      </c>
      <c r="AF6" s="7">
        <v>194400</v>
      </c>
      <c r="AG6" s="7">
        <v>192480</v>
      </c>
      <c r="AH6" s="7">
        <v>185280</v>
      </c>
      <c r="AI6" s="7"/>
    </row>
    <row r="7" spans="1:35" s="3" customFormat="1" ht="24.95" customHeight="1">
      <c r="A7" s="56"/>
      <c r="B7" s="7" t="s">
        <v>41</v>
      </c>
      <c r="C7" s="7">
        <f>D7+'10月'!C7</f>
        <v>45044694</v>
      </c>
      <c r="D7" s="7">
        <f t="shared" si="0"/>
        <v>2792664</v>
      </c>
      <c r="E7" s="7">
        <v>0</v>
      </c>
      <c r="F7" s="7">
        <v>0</v>
      </c>
      <c r="G7" s="7">
        <v>0</v>
      </c>
      <c r="H7" s="7">
        <v>0</v>
      </c>
      <c r="I7" s="7">
        <v>0</v>
      </c>
      <c r="J7" s="7">
        <v>0</v>
      </c>
      <c r="K7" s="7">
        <v>0</v>
      </c>
      <c r="L7" s="7">
        <v>0</v>
      </c>
      <c r="M7" s="7">
        <v>0</v>
      </c>
      <c r="N7" s="7">
        <v>0</v>
      </c>
      <c r="O7" s="7">
        <v>0</v>
      </c>
      <c r="P7" s="26">
        <v>0</v>
      </c>
      <c r="Q7" s="7">
        <v>54000</v>
      </c>
      <c r="R7" s="7">
        <v>140160</v>
      </c>
      <c r="S7" s="7">
        <v>148320</v>
      </c>
      <c r="T7" s="7">
        <v>152880</v>
      </c>
      <c r="U7" s="7">
        <v>159840</v>
      </c>
      <c r="V7" s="7">
        <v>157440</v>
      </c>
      <c r="W7" s="7">
        <v>157680</v>
      </c>
      <c r="X7" s="7">
        <v>162240</v>
      </c>
      <c r="Y7" s="7">
        <v>160320</v>
      </c>
      <c r="Z7" s="7">
        <v>174960</v>
      </c>
      <c r="AA7" s="7">
        <v>174240</v>
      </c>
      <c r="AB7" s="7">
        <v>162000</v>
      </c>
      <c r="AC7" s="7">
        <v>161760</v>
      </c>
      <c r="AD7" s="7">
        <v>166080</v>
      </c>
      <c r="AE7" s="7">
        <v>160320</v>
      </c>
      <c r="AF7" s="7">
        <v>166080</v>
      </c>
      <c r="AG7" s="7">
        <v>166344</v>
      </c>
      <c r="AH7" s="7">
        <v>168000</v>
      </c>
      <c r="AI7" s="26"/>
    </row>
    <row r="8" spans="1:35" s="3" customFormat="1" ht="24.75" customHeight="1">
      <c r="A8" s="56"/>
      <c r="B8" s="7" t="s">
        <v>38</v>
      </c>
      <c r="C8" s="7">
        <f>D8+'10月'!C8</f>
        <v>97280770</v>
      </c>
      <c r="D8" s="7">
        <f t="shared" si="0"/>
        <v>8089644</v>
      </c>
      <c r="E8" s="7">
        <f>E6+E7</f>
        <v>163620</v>
      </c>
      <c r="F8" s="7">
        <f t="shared" ref="F8:AI8" si="2">F6+F7</f>
        <v>173040</v>
      </c>
      <c r="G8" s="7">
        <f t="shared" si="2"/>
        <v>162240</v>
      </c>
      <c r="H8" s="7">
        <f t="shared" si="2"/>
        <v>164640</v>
      </c>
      <c r="I8" s="7">
        <f t="shared" si="2"/>
        <v>169920</v>
      </c>
      <c r="J8" s="7">
        <f t="shared" si="2"/>
        <v>171600</v>
      </c>
      <c r="K8" s="7">
        <f t="shared" si="2"/>
        <v>171360</v>
      </c>
      <c r="L8" s="7">
        <f t="shared" si="2"/>
        <v>170400</v>
      </c>
      <c r="M8" s="7">
        <f t="shared" si="2"/>
        <v>176160</v>
      </c>
      <c r="N8" s="7">
        <f t="shared" si="2"/>
        <v>163440</v>
      </c>
      <c r="O8" s="7">
        <f t="shared" si="2"/>
        <v>160800</v>
      </c>
      <c r="P8" s="7">
        <f t="shared" si="2"/>
        <v>159600</v>
      </c>
      <c r="Q8" s="7">
        <f t="shared" si="2"/>
        <v>213120</v>
      </c>
      <c r="R8" s="7">
        <f t="shared" si="2"/>
        <v>308640</v>
      </c>
      <c r="S8" s="7">
        <f t="shared" si="2"/>
        <v>321840</v>
      </c>
      <c r="T8" s="7">
        <f t="shared" si="2"/>
        <v>332640</v>
      </c>
      <c r="U8" s="7">
        <f t="shared" si="2"/>
        <v>352320</v>
      </c>
      <c r="V8" s="7">
        <f t="shared" si="2"/>
        <v>341040</v>
      </c>
      <c r="W8" s="7">
        <f t="shared" si="2"/>
        <v>348960</v>
      </c>
      <c r="X8" s="7">
        <f t="shared" si="2"/>
        <v>346080</v>
      </c>
      <c r="Y8" s="7">
        <f t="shared" si="2"/>
        <v>341280</v>
      </c>
      <c r="Z8" s="7">
        <f t="shared" si="2"/>
        <v>369360</v>
      </c>
      <c r="AA8" s="7">
        <f t="shared" si="2"/>
        <v>355920</v>
      </c>
      <c r="AB8" s="7">
        <f t="shared" si="2"/>
        <v>338160</v>
      </c>
      <c r="AC8" s="7">
        <f t="shared" si="2"/>
        <v>345840</v>
      </c>
      <c r="AD8" s="7">
        <f t="shared" si="2"/>
        <v>348960</v>
      </c>
      <c r="AE8" s="7">
        <f t="shared" si="2"/>
        <v>346080</v>
      </c>
      <c r="AF8" s="7">
        <f t="shared" si="2"/>
        <v>360480</v>
      </c>
      <c r="AG8" s="7">
        <f t="shared" si="2"/>
        <v>358824</v>
      </c>
      <c r="AH8" s="7">
        <f t="shared" si="2"/>
        <v>353280</v>
      </c>
      <c r="AI8" s="7">
        <f t="shared" si="2"/>
        <v>0</v>
      </c>
    </row>
    <row r="9" spans="1:35" s="3" customFormat="1" ht="24.95" customHeight="1">
      <c r="A9" s="56" t="s">
        <v>42</v>
      </c>
      <c r="B9" s="7" t="s">
        <v>38</v>
      </c>
      <c r="C9" s="7">
        <f>D9+'10月'!C9</f>
        <v>81379951</v>
      </c>
      <c r="D9" s="7">
        <f t="shared" si="0"/>
        <v>6840664</v>
      </c>
      <c r="E9" s="7">
        <v>135040</v>
      </c>
      <c r="F9" s="7">
        <v>143800</v>
      </c>
      <c r="G9" s="7">
        <v>133420</v>
      </c>
      <c r="H9" s="7">
        <v>135200</v>
      </c>
      <c r="I9" s="7">
        <v>140320</v>
      </c>
      <c r="J9" s="7">
        <v>141120</v>
      </c>
      <c r="K9" s="7">
        <v>141180</v>
      </c>
      <c r="L9" s="7">
        <v>139760</v>
      </c>
      <c r="M9" s="7">
        <v>145780</v>
      </c>
      <c r="N9" s="7">
        <v>134180</v>
      </c>
      <c r="O9" s="7">
        <v>130860</v>
      </c>
      <c r="P9" s="7">
        <v>128700</v>
      </c>
      <c r="Q9" s="7">
        <v>174460</v>
      </c>
      <c r="R9" s="7">
        <v>259260</v>
      </c>
      <c r="S9" s="7">
        <v>270080</v>
      </c>
      <c r="T9" s="7">
        <v>282380</v>
      </c>
      <c r="U9" s="7">
        <v>302480</v>
      </c>
      <c r="V9" s="7">
        <v>291060</v>
      </c>
      <c r="W9" s="7">
        <v>298260</v>
      </c>
      <c r="X9" s="7">
        <v>294260</v>
      </c>
      <c r="Y9" s="7">
        <v>291200</v>
      </c>
      <c r="Z9" s="7">
        <v>318000</v>
      </c>
      <c r="AA9" s="7">
        <v>305900</v>
      </c>
      <c r="AB9" s="7">
        <v>288000</v>
      </c>
      <c r="AC9" s="7">
        <v>296540</v>
      </c>
      <c r="AD9" s="7">
        <v>299640</v>
      </c>
      <c r="AE9" s="7">
        <v>296080</v>
      </c>
      <c r="AF9" s="7">
        <v>310100</v>
      </c>
      <c r="AG9" s="7">
        <v>309224</v>
      </c>
      <c r="AH9" s="7">
        <v>304380</v>
      </c>
      <c r="AI9" s="7"/>
    </row>
    <row r="10" spans="1:35" s="3" customFormat="1" ht="24.95" customHeight="1">
      <c r="A10" s="56"/>
      <c r="B10" s="6" t="s">
        <v>43</v>
      </c>
      <c r="C10" s="8">
        <f>SUM(C8/C5)</f>
        <v>410.91904815208272</v>
      </c>
      <c r="D10" s="8">
        <f t="shared" ref="D10:AI10" si="3">SUM(D8/D5)</f>
        <v>438.31579631776856</v>
      </c>
      <c r="E10" s="8">
        <f t="shared" si="3"/>
        <v>418.89400921658984</v>
      </c>
      <c r="F10" s="8">
        <f t="shared" si="3"/>
        <v>430.66202090592333</v>
      </c>
      <c r="G10" s="8">
        <f t="shared" si="3"/>
        <v>446.81905811071329</v>
      </c>
      <c r="H10" s="8">
        <f t="shared" si="3"/>
        <v>460.66032456631228</v>
      </c>
      <c r="I10" s="8">
        <f t="shared" si="3"/>
        <v>459.1191569845987</v>
      </c>
      <c r="J10" s="8">
        <f t="shared" si="3"/>
        <v>497.10312862108924</v>
      </c>
      <c r="K10" s="8">
        <f t="shared" si="3"/>
        <v>461.2651413189771</v>
      </c>
      <c r="L10" s="8">
        <f t="shared" si="3"/>
        <v>464.81178396072011</v>
      </c>
      <c r="M10" s="8">
        <f t="shared" si="3"/>
        <v>463.82306477093204</v>
      </c>
      <c r="N10" s="8">
        <f t="shared" si="3"/>
        <v>429.20168067226888</v>
      </c>
      <c r="O10" s="8">
        <f t="shared" si="3"/>
        <v>428.68568381764862</v>
      </c>
      <c r="P10" s="8">
        <f t="shared" si="3"/>
        <v>437.73998902907294</v>
      </c>
      <c r="Q10" s="8">
        <f t="shared" si="3"/>
        <v>415.84390243902442</v>
      </c>
      <c r="R10" s="8">
        <f t="shared" si="3"/>
        <v>410.64395955295367</v>
      </c>
      <c r="S10" s="8">
        <f t="shared" si="3"/>
        <v>415.1167290081259</v>
      </c>
      <c r="T10" s="8">
        <f t="shared" si="3"/>
        <v>427.22835859234527</v>
      </c>
      <c r="U10" s="8">
        <f t="shared" si="3"/>
        <v>443.22556296389484</v>
      </c>
      <c r="V10" s="8">
        <f t="shared" si="3"/>
        <v>428.87323943661971</v>
      </c>
      <c r="W10" s="8">
        <f t="shared" si="3"/>
        <v>434.02985074626866</v>
      </c>
      <c r="X10" s="8">
        <f t="shared" si="3"/>
        <v>435.4302969300453</v>
      </c>
      <c r="Y10" s="8">
        <f t="shared" si="3"/>
        <v>428.15205118554758</v>
      </c>
      <c r="Z10" s="8">
        <f t="shared" si="3"/>
        <v>476.53206037930596</v>
      </c>
      <c r="AA10" s="8">
        <f t="shared" si="3"/>
        <v>431.88933381871129</v>
      </c>
      <c r="AB10" s="8">
        <f t="shared" si="3"/>
        <v>416.45320197044333</v>
      </c>
      <c r="AC10" s="8">
        <f t="shared" si="3"/>
        <v>429.18838421444531</v>
      </c>
      <c r="AD10" s="8">
        <f t="shared" si="3"/>
        <v>450.27096774193546</v>
      </c>
      <c r="AE10" s="8">
        <f t="shared" si="3"/>
        <v>443.23770491803282</v>
      </c>
      <c r="AF10" s="8">
        <f t="shared" si="3"/>
        <v>429.24505834722555</v>
      </c>
      <c r="AG10" s="8">
        <f t="shared" si="3"/>
        <v>460.5621871390066</v>
      </c>
      <c r="AH10" s="8">
        <f t="shared" si="3"/>
        <v>444.99307217533692</v>
      </c>
      <c r="AI10" s="8" t="e">
        <f t="shared" si="3"/>
        <v>#DIV/0!</v>
      </c>
    </row>
    <row r="11" spans="1:35" s="3" customFormat="1" ht="24.95" customHeight="1">
      <c r="A11" s="56"/>
      <c r="B11" s="9" t="s">
        <v>44</v>
      </c>
      <c r="C11" s="8">
        <f>(C8-C16)/C5</f>
        <v>343.488087116852</v>
      </c>
      <c r="D11" s="8">
        <f>(D8-D16)/D5</f>
        <v>370.6431443092294</v>
      </c>
      <c r="E11" s="8">
        <f>(E8-E16)/E5</f>
        <v>345.72452636968762</v>
      </c>
      <c r="F11" s="8">
        <f>(F8-F16)/F5</f>
        <v>357.88949726231954</v>
      </c>
      <c r="G11" s="8">
        <f>(G8-G16)/G5</f>
        <v>367.44698430184519</v>
      </c>
      <c r="H11" s="8">
        <f>(H8-H16)/H5</f>
        <v>378.28763290430891</v>
      </c>
      <c r="I11" s="8">
        <f>(I8-I16)/I5</f>
        <v>379.1407727641178</v>
      </c>
      <c r="J11" s="8">
        <f>(J8-J16)/J5</f>
        <v>408.80648899188878</v>
      </c>
      <c r="K11" s="8">
        <f>(K8-K16)/K5</f>
        <v>380.02691790040376</v>
      </c>
      <c r="L11" s="8">
        <f>(L8-L16)/L5</f>
        <v>381.23295144571739</v>
      </c>
      <c r="M11" s="8">
        <f>(M8-M16)/M5</f>
        <v>383.83359662980513</v>
      </c>
      <c r="N11" s="8">
        <f>(N8-N16)/N5</f>
        <v>352.36344537815125</v>
      </c>
      <c r="O11" s="8">
        <f>(O8-O16)/O5</f>
        <v>348.86696880831778</v>
      </c>
      <c r="P11" s="8">
        <f>(P8-P16)/P5</f>
        <v>352.98957761930882</v>
      </c>
      <c r="Q11" s="8">
        <f>(Q8-Q16)/Q5</f>
        <v>340.409756097561</v>
      </c>
      <c r="R11" s="8">
        <f>(R8-R16)/R5</f>
        <v>344.944119212347</v>
      </c>
      <c r="S11" s="8">
        <f>(S8-S16)/S5</f>
        <v>348.35547529988395</v>
      </c>
      <c r="T11" s="8">
        <f>(T8-T16)/T5</f>
        <v>362.67659902388908</v>
      </c>
      <c r="U11" s="8">
        <f>(U8-U16)/U5</f>
        <v>380.52585230846648</v>
      </c>
      <c r="V11" s="8">
        <f>(V8-V16)/V5</f>
        <v>366.02112676056333</v>
      </c>
      <c r="W11" s="8">
        <f>(W8-W16)/W5</f>
        <v>370.97014925373134</v>
      </c>
      <c r="X11" s="8">
        <f>(X8-X16)/X5</f>
        <v>370.23150478107704</v>
      </c>
      <c r="Y11" s="8">
        <f>(Y8-Y16)/Y5</f>
        <v>365.3243005896374</v>
      </c>
      <c r="Z11" s="8">
        <f>(Z8-Z16)/Z5</f>
        <v>410.2696426267579</v>
      </c>
      <c r="AA11" s="8">
        <f>(AA8-AA16)/AA5</f>
        <v>371.192816405776</v>
      </c>
      <c r="AB11" s="8">
        <f>(AB8-AB16)/AB5</f>
        <v>354.67980295566502</v>
      </c>
      <c r="AC11" s="8">
        <f>(AC8-AC16)/AC5</f>
        <v>368.00694961528916</v>
      </c>
      <c r="AD11" s="8">
        <f>(AD8-AD16)/AD5</f>
        <v>386.63225806451612</v>
      </c>
      <c r="AE11" s="8">
        <f>(AE8-AE16)/AE5</f>
        <v>379.20081967213116</v>
      </c>
      <c r="AF11" s="8">
        <f>(AF8-AF16)/AF5</f>
        <v>369.25458442486308</v>
      </c>
      <c r="AG11" s="8">
        <f>(AG8-AG16)/AG5</f>
        <v>396.89898600949817</v>
      </c>
      <c r="AH11" s="8">
        <f>(AH8-AH16)/AH5</f>
        <v>383.39841289834987</v>
      </c>
      <c r="AI11" s="8" t="e">
        <f>(AI8-AI16)/AI5</f>
        <v>#DIV/0!</v>
      </c>
    </row>
    <row r="12" spans="1:35" s="3" customFormat="1" ht="24.95" customHeight="1">
      <c r="A12" s="56"/>
      <c r="B12" s="6" t="s">
        <v>45</v>
      </c>
      <c r="C12" s="8">
        <f>D12+'10月'!C12</f>
        <v>249881.49999999994</v>
      </c>
      <c r="D12" s="8">
        <f t="shared" ref="D12:D16" si="4">SUM(E12:AI12)</f>
        <v>19061.680000000004</v>
      </c>
      <c r="E12" s="7">
        <v>0</v>
      </c>
      <c r="F12" s="7">
        <v>0</v>
      </c>
      <c r="G12" s="7">
        <v>129</v>
      </c>
      <c r="H12" s="7">
        <v>630.28</v>
      </c>
      <c r="I12" s="7">
        <v>581</v>
      </c>
      <c r="J12" s="7">
        <v>470.54</v>
      </c>
      <c r="K12" s="7">
        <v>262.56</v>
      </c>
      <c r="L12" s="7">
        <v>339.72</v>
      </c>
      <c r="M12" s="7">
        <v>912.38</v>
      </c>
      <c r="N12" s="7">
        <v>749.18</v>
      </c>
      <c r="O12" s="7">
        <v>740.1</v>
      </c>
      <c r="P12" s="7">
        <v>704.82</v>
      </c>
      <c r="Q12" s="7">
        <v>694.04</v>
      </c>
      <c r="R12" s="7">
        <v>696.7</v>
      </c>
      <c r="S12" s="7">
        <v>687.26</v>
      </c>
      <c r="T12" s="7">
        <v>764.52</v>
      </c>
      <c r="U12" s="7">
        <v>739.34</v>
      </c>
      <c r="V12" s="7">
        <v>849.82</v>
      </c>
      <c r="W12" s="7">
        <v>896.46</v>
      </c>
      <c r="X12" s="7">
        <v>821.52</v>
      </c>
      <c r="Y12" s="7">
        <v>577.44000000000005</v>
      </c>
      <c r="Z12" s="7">
        <v>690.04</v>
      </c>
      <c r="AA12" s="7">
        <v>746.9</v>
      </c>
      <c r="AB12" s="7">
        <v>725.82</v>
      </c>
      <c r="AC12" s="7">
        <v>707.28</v>
      </c>
      <c r="AD12" s="12">
        <v>761.08</v>
      </c>
      <c r="AE12" s="7">
        <v>807.76</v>
      </c>
      <c r="AF12" s="7">
        <v>747.64</v>
      </c>
      <c r="AG12" s="7">
        <v>787.58</v>
      </c>
      <c r="AH12" s="12">
        <v>840.9</v>
      </c>
      <c r="AI12" s="7"/>
    </row>
    <row r="13" spans="1:35" s="3" customFormat="1" ht="24.75" customHeight="1">
      <c r="A13" s="58" t="s">
        <v>46</v>
      </c>
      <c r="B13" s="6" t="s">
        <v>36</v>
      </c>
      <c r="C13" s="8">
        <f>D13+'10月'!C13</f>
        <v>288171</v>
      </c>
      <c r="D13" s="10">
        <f t="shared" si="4"/>
        <v>30406</v>
      </c>
      <c r="E13" s="7">
        <f>319+339+340</f>
        <v>998</v>
      </c>
      <c r="F13" s="7">
        <f>307+350+349</f>
        <v>1006</v>
      </c>
      <c r="G13" s="7">
        <f>336+318+329</f>
        <v>983</v>
      </c>
      <c r="H13" s="7">
        <f>348+326+364</f>
        <v>1038</v>
      </c>
      <c r="I13" s="7">
        <f>320+348+340</f>
        <v>1008</v>
      </c>
      <c r="J13" s="7">
        <f>349+350+348</f>
        <v>1047</v>
      </c>
      <c r="K13" s="7">
        <f>346+349+337</f>
        <v>1032</v>
      </c>
      <c r="L13" s="7">
        <f>361+344+340</f>
        <v>1045</v>
      </c>
      <c r="M13" s="20">
        <f>328+377+359</f>
        <v>1064</v>
      </c>
      <c r="N13" s="7">
        <f>334+347+324</f>
        <v>1005</v>
      </c>
      <c r="O13" s="7">
        <f>330+335+322</f>
        <v>987</v>
      </c>
      <c r="P13" s="20">
        <f>343+325+326</f>
        <v>994</v>
      </c>
      <c r="Q13" s="7">
        <f>314+329+316</f>
        <v>959</v>
      </c>
      <c r="R13" s="7">
        <f>308+350+296</f>
        <v>954</v>
      </c>
      <c r="S13" s="7">
        <f>330+348+306</f>
        <v>984</v>
      </c>
      <c r="T13" s="7">
        <f>334+323+372</f>
        <v>1029</v>
      </c>
      <c r="U13" s="7">
        <f>325+357+365</f>
        <v>1047</v>
      </c>
      <c r="V13" s="7">
        <f>346+355+326</f>
        <v>1027</v>
      </c>
      <c r="W13" s="7">
        <f>381+316+350</f>
        <v>1047</v>
      </c>
      <c r="X13" s="7">
        <f>375+318+319</f>
        <v>1012</v>
      </c>
      <c r="Y13" s="7">
        <f>328+375+293</f>
        <v>996</v>
      </c>
      <c r="Z13" s="7">
        <f>323+371+340</f>
        <v>1034</v>
      </c>
      <c r="AA13" s="7">
        <f>326+345+334</f>
        <v>1005</v>
      </c>
      <c r="AB13" s="7">
        <f>319+323+363</f>
        <v>1005</v>
      </c>
      <c r="AC13" s="7">
        <f>332+322+356</f>
        <v>1010</v>
      </c>
      <c r="AD13" s="7">
        <f>331+337+320</f>
        <v>988</v>
      </c>
      <c r="AE13" s="7">
        <f>347+310+328</f>
        <v>985</v>
      </c>
      <c r="AF13" s="7">
        <f>379+340+342</f>
        <v>1061</v>
      </c>
      <c r="AG13" s="7">
        <f>352+393+309</f>
        <v>1054</v>
      </c>
      <c r="AH13" s="7">
        <f>329+342+331</f>
        <v>1002</v>
      </c>
      <c r="AI13" s="7"/>
    </row>
    <row r="14" spans="1:35" s="3" customFormat="1" ht="25.5" customHeight="1">
      <c r="A14" s="59"/>
      <c r="B14" s="6" t="s">
        <v>37</v>
      </c>
      <c r="C14" s="8">
        <f>D14+'10月'!C14</f>
        <v>316434</v>
      </c>
      <c r="D14" s="10">
        <f t="shared" si="4"/>
        <v>18514</v>
      </c>
      <c r="E14" s="7">
        <v>0</v>
      </c>
      <c r="F14" s="7">
        <v>0</v>
      </c>
      <c r="G14" s="7">
        <v>0</v>
      </c>
      <c r="H14" s="7">
        <v>0</v>
      </c>
      <c r="I14" s="7">
        <v>0</v>
      </c>
      <c r="J14" s="7">
        <v>0</v>
      </c>
      <c r="K14" s="7">
        <v>0</v>
      </c>
      <c r="L14" s="7">
        <v>0</v>
      </c>
      <c r="M14" s="20">
        <v>0</v>
      </c>
      <c r="N14" s="7">
        <v>0</v>
      </c>
      <c r="O14" s="7">
        <v>0</v>
      </c>
      <c r="P14" s="20">
        <v>0</v>
      </c>
      <c r="Q14" s="7">
        <v>314</v>
      </c>
      <c r="R14" s="7">
        <f>307+311+337</f>
        <v>955</v>
      </c>
      <c r="S14" s="7">
        <f>350+342+353</f>
        <v>1045</v>
      </c>
      <c r="T14" s="7">
        <f>347+343+348</f>
        <v>1038</v>
      </c>
      <c r="U14" s="7">
        <f>342+384+354</f>
        <v>1080</v>
      </c>
      <c r="V14" s="7">
        <v>1039</v>
      </c>
      <c r="W14" s="7">
        <f>348+340+357</f>
        <v>1045</v>
      </c>
      <c r="X14" s="7">
        <f>353+337+373</f>
        <v>1063</v>
      </c>
      <c r="Y14" s="7">
        <f>348+345+355</f>
        <v>1048</v>
      </c>
      <c r="Z14" s="7">
        <f>362+365+385</f>
        <v>1112</v>
      </c>
      <c r="AA14" s="7">
        <f>386+361+398</f>
        <v>1145</v>
      </c>
      <c r="AB14" s="7">
        <f>358+335+335</f>
        <v>1028</v>
      </c>
      <c r="AC14" s="7">
        <f>365+349+346</f>
        <v>1060</v>
      </c>
      <c r="AD14" s="7">
        <f>380+365+354</f>
        <v>1099</v>
      </c>
      <c r="AE14" s="7">
        <f>360+355+377</f>
        <v>1092</v>
      </c>
      <c r="AF14" s="7">
        <f>366+362+385</f>
        <v>1113</v>
      </c>
      <c r="AG14" s="7">
        <f>380+380+361</f>
        <v>1121</v>
      </c>
      <c r="AH14" s="7">
        <f>369+374+374</f>
        <v>1117</v>
      </c>
      <c r="AI14" s="7"/>
    </row>
    <row r="15" spans="1:35" s="3" customFormat="1" ht="24" customHeight="1">
      <c r="A15" s="60"/>
      <c r="B15" s="7" t="s">
        <v>38</v>
      </c>
      <c r="C15" s="8">
        <f>D15+'10月'!C15</f>
        <v>604605</v>
      </c>
      <c r="D15" s="7">
        <f t="shared" si="4"/>
        <v>48920</v>
      </c>
      <c r="E15" s="7">
        <f>E13+E14</f>
        <v>998</v>
      </c>
      <c r="F15" s="7">
        <f t="shared" ref="F15:AI15" si="5">F13+F14</f>
        <v>1006</v>
      </c>
      <c r="G15" s="7">
        <f t="shared" si="5"/>
        <v>983</v>
      </c>
      <c r="H15" s="7">
        <f t="shared" si="5"/>
        <v>1038</v>
      </c>
      <c r="I15" s="7">
        <f t="shared" si="5"/>
        <v>1008</v>
      </c>
      <c r="J15" s="7">
        <f t="shared" si="5"/>
        <v>1047</v>
      </c>
      <c r="K15" s="7">
        <f t="shared" si="5"/>
        <v>1032</v>
      </c>
      <c r="L15" s="7">
        <f t="shared" si="5"/>
        <v>1045</v>
      </c>
      <c r="M15" s="7">
        <f t="shared" si="5"/>
        <v>1064</v>
      </c>
      <c r="N15" s="7">
        <f t="shared" si="5"/>
        <v>1005</v>
      </c>
      <c r="O15" s="7">
        <f t="shared" si="5"/>
        <v>987</v>
      </c>
      <c r="P15" s="7">
        <f t="shared" si="5"/>
        <v>994</v>
      </c>
      <c r="Q15" s="7">
        <f t="shared" si="5"/>
        <v>1273</v>
      </c>
      <c r="R15" s="7">
        <f t="shared" si="5"/>
        <v>1909</v>
      </c>
      <c r="S15" s="7">
        <f t="shared" si="5"/>
        <v>2029</v>
      </c>
      <c r="T15" s="7">
        <f t="shared" si="5"/>
        <v>2067</v>
      </c>
      <c r="U15" s="7">
        <f t="shared" si="5"/>
        <v>2127</v>
      </c>
      <c r="V15" s="7">
        <f t="shared" si="5"/>
        <v>2066</v>
      </c>
      <c r="W15" s="7">
        <f t="shared" si="5"/>
        <v>2092</v>
      </c>
      <c r="X15" s="7">
        <f t="shared" si="5"/>
        <v>2075</v>
      </c>
      <c r="Y15" s="7">
        <f t="shared" si="5"/>
        <v>2044</v>
      </c>
      <c r="Z15" s="7">
        <f t="shared" si="5"/>
        <v>2146</v>
      </c>
      <c r="AA15" s="7">
        <f t="shared" si="5"/>
        <v>2150</v>
      </c>
      <c r="AB15" s="7">
        <f t="shared" si="5"/>
        <v>2033</v>
      </c>
      <c r="AC15" s="7">
        <f t="shared" si="5"/>
        <v>2070</v>
      </c>
      <c r="AD15" s="7">
        <f t="shared" si="5"/>
        <v>2087</v>
      </c>
      <c r="AE15" s="7">
        <f t="shared" si="5"/>
        <v>2077</v>
      </c>
      <c r="AF15" s="7">
        <f t="shared" si="5"/>
        <v>2174</v>
      </c>
      <c r="AG15" s="7">
        <f t="shared" si="5"/>
        <v>2175</v>
      </c>
      <c r="AH15" s="7">
        <f t="shared" si="5"/>
        <v>2119</v>
      </c>
      <c r="AI15" s="7">
        <f t="shared" si="5"/>
        <v>0</v>
      </c>
    </row>
    <row r="16" spans="1:35" s="3" customFormat="1" ht="24.75" customHeight="1">
      <c r="A16" s="56" t="s">
        <v>47</v>
      </c>
      <c r="B16" s="7" t="s">
        <v>38</v>
      </c>
      <c r="C16" s="8">
        <f>D16+'10月'!C16</f>
        <v>15963572</v>
      </c>
      <c r="D16" s="7">
        <f t="shared" si="4"/>
        <v>1248980</v>
      </c>
      <c r="E16" s="7">
        <v>28580</v>
      </c>
      <c r="F16" s="7">
        <v>29240</v>
      </c>
      <c r="G16" s="7">
        <v>28820</v>
      </c>
      <c r="H16" s="7">
        <v>29440</v>
      </c>
      <c r="I16" s="7">
        <v>29600</v>
      </c>
      <c r="J16" s="7">
        <v>30480</v>
      </c>
      <c r="K16" s="7">
        <v>30180</v>
      </c>
      <c r="L16" s="7">
        <v>30640</v>
      </c>
      <c r="M16" s="7">
        <v>30380</v>
      </c>
      <c r="N16" s="7">
        <v>29260</v>
      </c>
      <c r="O16" s="7">
        <v>29940</v>
      </c>
      <c r="P16" s="7">
        <v>30900</v>
      </c>
      <c r="Q16" s="7">
        <v>38660</v>
      </c>
      <c r="R16" s="7">
        <v>49380</v>
      </c>
      <c r="S16" s="7">
        <v>51760</v>
      </c>
      <c r="T16" s="7">
        <v>50260</v>
      </c>
      <c r="U16" s="7">
        <v>49840</v>
      </c>
      <c r="V16" s="7">
        <v>49980</v>
      </c>
      <c r="W16" s="7">
        <v>50700</v>
      </c>
      <c r="X16" s="7">
        <v>51820</v>
      </c>
      <c r="Y16" s="7">
        <v>50080</v>
      </c>
      <c r="Z16" s="7">
        <v>51360</v>
      </c>
      <c r="AA16" s="7">
        <v>50020</v>
      </c>
      <c r="AB16" s="7">
        <v>50160</v>
      </c>
      <c r="AC16" s="7">
        <v>49300</v>
      </c>
      <c r="AD16" s="7">
        <v>49320</v>
      </c>
      <c r="AE16" s="7">
        <v>50000</v>
      </c>
      <c r="AF16" s="7">
        <v>50380</v>
      </c>
      <c r="AG16" s="7">
        <v>49600</v>
      </c>
      <c r="AH16" s="7">
        <v>48900</v>
      </c>
      <c r="AI16" s="7"/>
    </row>
    <row r="17" spans="1:35" s="3" customFormat="1" ht="24.95" customHeight="1">
      <c r="A17" s="56"/>
      <c r="B17" s="6" t="s">
        <v>48</v>
      </c>
      <c r="C17" s="11">
        <f>SUM(C16/C8)</f>
        <v>0.16409791986638264</v>
      </c>
      <c r="D17" s="11">
        <f>SUM(D16/D8)</f>
        <v>0.15439245534166893</v>
      </c>
      <c r="E17" s="11">
        <f>SUM(E16/E8)</f>
        <v>0.17467302285784134</v>
      </c>
      <c r="F17" s="11">
        <f>SUM(F16/F8)</f>
        <v>0.16897827092001849</v>
      </c>
      <c r="G17" s="11">
        <f>SUM(G16/G8)</f>
        <v>0.17763806706114399</v>
      </c>
      <c r="H17" s="11">
        <f>SUM(H16/H8)</f>
        <v>0.17881438289601556</v>
      </c>
      <c r="I17" s="11">
        <f>SUM(I16/I8)</f>
        <v>0.17419962335216574</v>
      </c>
      <c r="J17" s="11">
        <f>SUM(J16/J8)</f>
        <v>0.17762237762237762</v>
      </c>
      <c r="K17" s="11">
        <f>SUM(K16/K8)</f>
        <v>0.17612044817927172</v>
      </c>
      <c r="L17" s="11">
        <f>SUM(L16/L8)</f>
        <v>0.17981220657276994</v>
      </c>
      <c r="M17" s="11">
        <f>SUM(M16/M8)</f>
        <v>0.1724568574023615</v>
      </c>
      <c r="N17" s="11">
        <f>SUM(N16/N8)</f>
        <v>0.17902594224180127</v>
      </c>
      <c r="O17" s="11">
        <f>SUM(O16/O8)</f>
        <v>0.18619402985074626</v>
      </c>
      <c r="P17" s="11">
        <f>SUM(P16/P8)</f>
        <v>0.19360902255639098</v>
      </c>
      <c r="Q17" s="11">
        <f>SUM(Q16/Q8)</f>
        <v>0.18140015015015015</v>
      </c>
      <c r="R17" s="11">
        <f>SUM(R16/R8)</f>
        <v>0.15999222395023327</v>
      </c>
      <c r="S17" s="11">
        <f>SUM(S16/S8)</f>
        <v>0.16082525478498633</v>
      </c>
      <c r="T17" s="11">
        <f>SUM(T16/T8)</f>
        <v>0.15109427609427609</v>
      </c>
      <c r="U17" s="11">
        <f>SUM(U16/U8)</f>
        <v>0.14146230699364215</v>
      </c>
      <c r="V17" s="11">
        <f>SUM(V16/V8)</f>
        <v>0.14655172413793102</v>
      </c>
      <c r="W17" s="11">
        <f>SUM(W16/W8)</f>
        <v>0.14528885832187069</v>
      </c>
      <c r="X17" s="11">
        <f>SUM(X16/X8)</f>
        <v>0.14973416551086455</v>
      </c>
      <c r="Y17" s="11">
        <f>SUM(Y16/Y8)</f>
        <v>0.146741678387248</v>
      </c>
      <c r="Z17" s="11">
        <f>SUM(Z16/Z8)</f>
        <v>0.13905133203378817</v>
      </c>
      <c r="AA17" s="11">
        <f>SUM(AA16/AA8)</f>
        <v>0.1405371993706451</v>
      </c>
      <c r="AB17" s="11">
        <f>SUM(AB16/AB8)</f>
        <v>0.14833215046132009</v>
      </c>
      <c r="AC17" s="11">
        <f>SUM(AC16/AC8)</f>
        <v>0.14255146888734674</v>
      </c>
      <c r="AD17" s="11">
        <f>SUM(AD16/AD8)</f>
        <v>0.14133425034387895</v>
      </c>
      <c r="AE17" s="11">
        <f>SUM(AE16/AE8)</f>
        <v>0.14447526583448914</v>
      </c>
      <c r="AF17" s="11">
        <f>SUM(AF16/AF8)</f>
        <v>0.13975810031069685</v>
      </c>
      <c r="AG17" s="11">
        <f>SUM(AG16/AG8)</f>
        <v>0.13822932691235815</v>
      </c>
      <c r="AH17" s="11">
        <f>SUM(AH16/AH8)</f>
        <v>0.13841711956521738</v>
      </c>
      <c r="AI17" s="11" t="e">
        <f>SUM(AI16/AI8)</f>
        <v>#DIV/0!</v>
      </c>
    </row>
    <row r="18" spans="1:35" s="3" customFormat="1" ht="24.95" customHeight="1">
      <c r="A18" s="13"/>
      <c r="B18" s="13" t="s">
        <v>49</v>
      </c>
      <c r="C18" s="7">
        <f>D18+'10月'!C18</f>
        <v>153</v>
      </c>
      <c r="D18" s="7">
        <f>COUNT(E18:AI18)</f>
        <v>30</v>
      </c>
      <c r="E18" s="14">
        <v>3700</v>
      </c>
      <c r="F18" s="14">
        <v>3300</v>
      </c>
      <c r="G18" s="14">
        <v>3100</v>
      </c>
      <c r="H18" s="14">
        <v>3200</v>
      </c>
      <c r="I18" s="14">
        <v>3300</v>
      </c>
      <c r="J18" s="7">
        <v>3400</v>
      </c>
      <c r="K18" s="14">
        <v>3200</v>
      </c>
      <c r="L18" s="14">
        <v>3100</v>
      </c>
      <c r="M18" s="7">
        <v>3600</v>
      </c>
      <c r="N18" s="7">
        <v>3900</v>
      </c>
      <c r="O18" s="7">
        <v>4200</v>
      </c>
      <c r="P18" s="7">
        <v>4500</v>
      </c>
      <c r="Q18" s="7">
        <v>7000</v>
      </c>
      <c r="R18" s="7">
        <v>7000</v>
      </c>
      <c r="S18" s="7">
        <v>6700</v>
      </c>
      <c r="T18" s="7">
        <v>6600</v>
      </c>
      <c r="U18" s="7">
        <v>6400</v>
      </c>
      <c r="V18" s="7">
        <v>6400</v>
      </c>
      <c r="W18" s="7">
        <v>6400</v>
      </c>
      <c r="X18" s="7">
        <v>6300</v>
      </c>
      <c r="Y18" s="7">
        <v>6000</v>
      </c>
      <c r="Z18" s="7">
        <v>5900</v>
      </c>
      <c r="AA18" s="7">
        <v>5700</v>
      </c>
      <c r="AB18" s="7">
        <v>5600</v>
      </c>
      <c r="AC18" s="7">
        <v>5400</v>
      </c>
      <c r="AD18" s="7">
        <v>5300</v>
      </c>
      <c r="AE18" s="7">
        <v>5300</v>
      </c>
      <c r="AF18" s="7">
        <v>5200</v>
      </c>
      <c r="AG18" s="7">
        <v>5200</v>
      </c>
      <c r="AH18" s="7">
        <v>5200</v>
      </c>
      <c r="AI18" s="7"/>
    </row>
    <row r="19" spans="1:35" s="3" customFormat="1" ht="24.95" customHeight="1">
      <c r="A19" s="61" t="s">
        <v>50</v>
      </c>
      <c r="B19" s="13" t="s">
        <v>51</v>
      </c>
      <c r="C19" s="7">
        <f>D19+'10月'!C19</f>
        <v>7352.22</v>
      </c>
      <c r="D19" s="7">
        <f t="shared" ref="D19:D28" si="6">SUM(E19:AI19)</f>
        <v>0</v>
      </c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28"/>
      <c r="T19" s="28"/>
      <c r="U19" s="28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</row>
    <row r="20" spans="1:35" s="3" customFormat="1" ht="24.95" customHeight="1">
      <c r="A20" s="62"/>
      <c r="B20" s="13" t="s">
        <v>52</v>
      </c>
      <c r="C20" s="7">
        <f>D20+'10月'!C20</f>
        <v>94950.14</v>
      </c>
      <c r="D20" s="7">
        <f t="shared" si="6"/>
        <v>4286.22</v>
      </c>
      <c r="E20" s="15"/>
      <c r="F20" s="15"/>
      <c r="G20" s="15"/>
      <c r="H20" s="15">
        <v>140.06</v>
      </c>
      <c r="I20" s="15">
        <v>167.82</v>
      </c>
      <c r="J20" s="15">
        <v>171.68</v>
      </c>
      <c r="K20" s="15">
        <v>175.58</v>
      </c>
      <c r="L20" s="15">
        <v>259.2</v>
      </c>
      <c r="M20" s="15">
        <v>355.7</v>
      </c>
      <c r="N20" s="15">
        <v>299.7</v>
      </c>
      <c r="O20" s="15">
        <v>283.22000000000003</v>
      </c>
      <c r="P20" s="15">
        <v>254.88</v>
      </c>
      <c r="Q20" s="15">
        <v>272.08</v>
      </c>
      <c r="R20" s="15">
        <v>286.58</v>
      </c>
      <c r="S20" s="28">
        <v>283.8</v>
      </c>
      <c r="T20" s="28">
        <v>286.33999999999997</v>
      </c>
      <c r="U20" s="28">
        <v>294.52</v>
      </c>
      <c r="V20" s="15">
        <v>285.02</v>
      </c>
      <c r="W20" s="15">
        <v>299.42</v>
      </c>
      <c r="X20" s="15">
        <v>170.62</v>
      </c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</row>
    <row r="21" spans="1:35" s="3" customFormat="1" ht="24.95" customHeight="1">
      <c r="A21" s="62"/>
      <c r="B21" s="13" t="s">
        <v>53</v>
      </c>
      <c r="C21" s="7">
        <f>D21+'10月'!C21</f>
        <v>2381.58</v>
      </c>
      <c r="D21" s="7">
        <f t="shared" si="6"/>
        <v>0</v>
      </c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28"/>
      <c r="T21" s="28"/>
      <c r="U21" s="28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</row>
    <row r="22" spans="1:35" s="3" customFormat="1" ht="24.95" customHeight="1">
      <c r="A22" s="62"/>
      <c r="B22" s="13" t="s">
        <v>54</v>
      </c>
      <c r="C22" s="7">
        <f>D22+'10月'!C22</f>
        <v>3086.4399999999996</v>
      </c>
      <c r="D22" s="7">
        <f t="shared" si="6"/>
        <v>1917.92</v>
      </c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28"/>
      <c r="T22" s="28"/>
      <c r="U22" s="28"/>
      <c r="V22" s="15">
        <v>90.06</v>
      </c>
      <c r="W22" s="15">
        <v>144.38</v>
      </c>
      <c r="X22" s="15">
        <v>152.34</v>
      </c>
      <c r="Y22" s="15">
        <v>140.56</v>
      </c>
      <c r="Z22" s="15">
        <v>156.63999999999999</v>
      </c>
      <c r="AA22" s="15">
        <v>172.26</v>
      </c>
      <c r="AB22" s="15">
        <v>161.34</v>
      </c>
      <c r="AC22" s="15">
        <v>137.66</v>
      </c>
      <c r="AD22" s="15">
        <v>149.13999999999999</v>
      </c>
      <c r="AE22" s="15">
        <v>142</v>
      </c>
      <c r="AF22" s="15">
        <v>154.46</v>
      </c>
      <c r="AG22" s="15">
        <v>162.28</v>
      </c>
      <c r="AH22" s="15">
        <v>154.80000000000001</v>
      </c>
      <c r="AI22" s="15"/>
    </row>
    <row r="23" spans="1:35" s="3" customFormat="1" ht="22.15" customHeight="1">
      <c r="A23" s="62"/>
      <c r="B23" s="13" t="s">
        <v>55</v>
      </c>
      <c r="C23" s="7">
        <f>D23+'10月'!C23</f>
        <v>0</v>
      </c>
      <c r="D23" s="7">
        <f t="shared" si="6"/>
        <v>0</v>
      </c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28"/>
      <c r="T23" s="28"/>
      <c r="U23" s="28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</row>
    <row r="24" spans="1:35" s="3" customFormat="1" ht="22.15" customHeight="1">
      <c r="A24" s="62"/>
      <c r="B24" s="13" t="s">
        <v>56</v>
      </c>
      <c r="C24" s="7">
        <f>D24+'10月'!C24</f>
        <v>13122.38</v>
      </c>
      <c r="D24" s="7">
        <f t="shared" si="6"/>
        <v>1511.2999999999997</v>
      </c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28"/>
      <c r="T24" s="28"/>
      <c r="U24" s="28"/>
      <c r="V24" s="15"/>
      <c r="W24" s="15"/>
      <c r="X24" s="15"/>
      <c r="Y24" s="15"/>
      <c r="Z24" s="15">
        <v>95.82</v>
      </c>
      <c r="AA24" s="15">
        <v>193.96</v>
      </c>
      <c r="AB24" s="15">
        <v>166.26</v>
      </c>
      <c r="AC24" s="15">
        <v>191.52</v>
      </c>
      <c r="AD24" s="15">
        <v>158.06</v>
      </c>
      <c r="AE24" s="15">
        <v>166.32</v>
      </c>
      <c r="AF24" s="15">
        <v>165.5</v>
      </c>
      <c r="AG24" s="15">
        <v>182.88</v>
      </c>
      <c r="AH24" s="15">
        <v>190.98</v>
      </c>
      <c r="AI24" s="15"/>
    </row>
    <row r="25" spans="1:35" s="3" customFormat="1" ht="21.75" customHeight="1">
      <c r="A25" s="62"/>
      <c r="B25" s="13" t="s">
        <v>57</v>
      </c>
      <c r="C25" s="7">
        <f>D25+'10月'!C25</f>
        <v>104729.76000000001</v>
      </c>
      <c r="D25" s="7">
        <f t="shared" si="6"/>
        <v>8410.0400000000009</v>
      </c>
      <c r="E25" s="15"/>
      <c r="F25" s="15"/>
      <c r="G25" s="15">
        <v>81.48</v>
      </c>
      <c r="H25" s="15">
        <v>403.32</v>
      </c>
      <c r="I25" s="15">
        <v>344.9</v>
      </c>
      <c r="J25" s="15">
        <v>238.52</v>
      </c>
      <c r="K25" s="15"/>
      <c r="L25" s="15"/>
      <c r="M25" s="15">
        <v>483.16</v>
      </c>
      <c r="N25" s="15">
        <v>69.3</v>
      </c>
      <c r="O25" s="15">
        <v>68.760000000000005</v>
      </c>
      <c r="P25" s="15">
        <v>383.42</v>
      </c>
      <c r="Q25" s="15">
        <v>76.64</v>
      </c>
      <c r="R25" s="15">
        <v>356.44</v>
      </c>
      <c r="S25" s="28">
        <v>320.36</v>
      </c>
      <c r="T25" s="28">
        <v>403.52</v>
      </c>
      <c r="U25" s="28">
        <v>369.82</v>
      </c>
      <c r="V25" s="15">
        <v>389.6</v>
      </c>
      <c r="W25" s="15">
        <v>396.36</v>
      </c>
      <c r="X25" s="15">
        <v>415.8</v>
      </c>
      <c r="Y25" s="15">
        <v>369.5</v>
      </c>
      <c r="Z25" s="15">
        <v>359.12</v>
      </c>
      <c r="AA25" s="15">
        <v>301.24</v>
      </c>
      <c r="AB25" s="15">
        <v>329.08</v>
      </c>
      <c r="AC25" s="15">
        <v>315.12</v>
      </c>
      <c r="AD25" s="15">
        <v>366.16</v>
      </c>
      <c r="AE25" s="15">
        <v>430.14</v>
      </c>
      <c r="AF25" s="15">
        <v>360.58</v>
      </c>
      <c r="AG25" s="15">
        <v>367.88</v>
      </c>
      <c r="AH25" s="15">
        <v>409.82</v>
      </c>
      <c r="AI25" s="15"/>
    </row>
    <row r="26" spans="1:35" s="3" customFormat="1" ht="18" customHeight="1">
      <c r="A26" s="62"/>
      <c r="B26" s="13" t="s">
        <v>58</v>
      </c>
      <c r="C26" s="7">
        <f>D26+'10月'!C26</f>
        <v>24258.979999999996</v>
      </c>
      <c r="D26" s="7">
        <f t="shared" si="6"/>
        <v>2936.2000000000007</v>
      </c>
      <c r="E26" s="15"/>
      <c r="F26" s="15"/>
      <c r="G26" s="15">
        <v>47.52</v>
      </c>
      <c r="H26" s="15">
        <v>86.9</v>
      </c>
      <c r="I26" s="15">
        <v>68.28</v>
      </c>
      <c r="J26" s="15">
        <v>60.34</v>
      </c>
      <c r="K26" s="15">
        <v>86.98</v>
      </c>
      <c r="L26" s="15">
        <v>80.52</v>
      </c>
      <c r="M26" s="15">
        <v>73.52</v>
      </c>
      <c r="N26" s="15">
        <v>380.18</v>
      </c>
      <c r="O26" s="15">
        <v>388.12</v>
      </c>
      <c r="P26" s="15">
        <v>66.52</v>
      </c>
      <c r="Q26" s="15">
        <v>345.32</v>
      </c>
      <c r="R26" s="15">
        <v>53.68</v>
      </c>
      <c r="S26" s="15">
        <v>83.1</v>
      </c>
      <c r="T26" s="28">
        <v>74.66</v>
      </c>
      <c r="U26" s="28">
        <v>75</v>
      </c>
      <c r="V26" s="15">
        <v>85.14</v>
      </c>
      <c r="W26" s="15">
        <v>56.3</v>
      </c>
      <c r="X26" s="15">
        <v>82.76</v>
      </c>
      <c r="Y26" s="15">
        <v>67.38</v>
      </c>
      <c r="Z26" s="15">
        <v>78.459999999999994</v>
      </c>
      <c r="AA26" s="15">
        <v>79.44</v>
      </c>
      <c r="AB26" s="15">
        <v>69.14</v>
      </c>
      <c r="AC26" s="15">
        <v>62.98</v>
      </c>
      <c r="AD26" s="15">
        <v>87.72</v>
      </c>
      <c r="AE26" s="15">
        <v>69.3</v>
      </c>
      <c r="AF26" s="15">
        <v>67.099999999999994</v>
      </c>
      <c r="AG26" s="15">
        <v>74.540000000000006</v>
      </c>
      <c r="AH26" s="15">
        <v>85.3</v>
      </c>
      <c r="AI26" s="15"/>
    </row>
    <row r="27" spans="1:35" s="3" customFormat="1" ht="18" customHeight="1">
      <c r="A27" s="62"/>
      <c r="B27" s="16" t="s">
        <v>59</v>
      </c>
      <c r="C27" s="7">
        <f>D27+'10月'!C27</f>
        <v>0</v>
      </c>
      <c r="D27" s="7">
        <f t="shared" si="6"/>
        <v>0</v>
      </c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28"/>
      <c r="U27" s="28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</row>
    <row r="28" spans="1:35" s="3" customFormat="1" ht="18" customHeight="1">
      <c r="A28" s="62"/>
      <c r="B28" s="16" t="s">
        <v>60</v>
      </c>
      <c r="C28" s="7">
        <f>D28+'10月'!C28</f>
        <v>0</v>
      </c>
      <c r="D28" s="7">
        <f t="shared" si="6"/>
        <v>0</v>
      </c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28"/>
      <c r="U28" s="28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</row>
    <row r="29" spans="1:35" s="3" customFormat="1" ht="18" hidden="1" customHeight="1">
      <c r="A29" s="63"/>
      <c r="B29" s="16"/>
      <c r="C29" s="7">
        <f>D29+'10月'!C29</f>
        <v>0</v>
      </c>
      <c r="D29" s="7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</row>
    <row r="30" spans="1:35" s="3" customFormat="1" ht="26.1" customHeight="1">
      <c r="A30" s="12"/>
      <c r="B30" s="12" t="s">
        <v>61</v>
      </c>
      <c r="C30" s="7">
        <f>D30+'10月'!C30</f>
        <v>249881.49999999997</v>
      </c>
      <c r="D30" s="7">
        <f>SUM(D19:D29)</f>
        <v>19061.68</v>
      </c>
      <c r="E30" s="7">
        <f t="shared" ref="E30:AI30" si="7">SUM(E19:E29)</f>
        <v>0</v>
      </c>
      <c r="F30" s="7">
        <f t="shared" si="7"/>
        <v>0</v>
      </c>
      <c r="G30" s="7">
        <f t="shared" si="7"/>
        <v>129</v>
      </c>
      <c r="H30" s="7">
        <f t="shared" si="7"/>
        <v>630.28</v>
      </c>
      <c r="I30" s="7">
        <f t="shared" si="7"/>
        <v>581</v>
      </c>
      <c r="J30" s="7">
        <f t="shared" si="7"/>
        <v>470.54000000000008</v>
      </c>
      <c r="K30" s="7">
        <f t="shared" si="7"/>
        <v>262.56</v>
      </c>
      <c r="L30" s="7">
        <f t="shared" si="7"/>
        <v>339.71999999999997</v>
      </c>
      <c r="M30" s="7">
        <f t="shared" si="7"/>
        <v>912.38</v>
      </c>
      <c r="N30" s="7">
        <f t="shared" si="7"/>
        <v>749.18000000000006</v>
      </c>
      <c r="O30" s="7">
        <f t="shared" si="7"/>
        <v>740.1</v>
      </c>
      <c r="P30" s="7">
        <f t="shared" si="7"/>
        <v>704.81999999999994</v>
      </c>
      <c r="Q30" s="7">
        <f t="shared" si="7"/>
        <v>694.04</v>
      </c>
      <c r="R30" s="7">
        <f t="shared" si="7"/>
        <v>696.69999999999993</v>
      </c>
      <c r="S30" s="7">
        <f t="shared" si="7"/>
        <v>687.2600000000001</v>
      </c>
      <c r="T30" s="7">
        <f t="shared" si="7"/>
        <v>764.51999999999987</v>
      </c>
      <c r="U30" s="7">
        <f t="shared" si="7"/>
        <v>739.33999999999992</v>
      </c>
      <c r="V30" s="7">
        <f t="shared" si="7"/>
        <v>849.82</v>
      </c>
      <c r="W30" s="7">
        <f t="shared" si="7"/>
        <v>896.46</v>
      </c>
      <c r="X30" s="7">
        <f t="shared" si="7"/>
        <v>821.52</v>
      </c>
      <c r="Y30" s="7">
        <f t="shared" si="7"/>
        <v>577.44000000000005</v>
      </c>
      <c r="Z30" s="7">
        <f t="shared" si="7"/>
        <v>690.04</v>
      </c>
      <c r="AA30" s="7">
        <f t="shared" si="7"/>
        <v>746.90000000000009</v>
      </c>
      <c r="AB30" s="7">
        <f t="shared" si="7"/>
        <v>725.82</v>
      </c>
      <c r="AC30" s="7">
        <f t="shared" si="7"/>
        <v>707.28</v>
      </c>
      <c r="AD30" s="7">
        <f t="shared" si="7"/>
        <v>761.08</v>
      </c>
      <c r="AE30" s="7">
        <f t="shared" si="7"/>
        <v>807.76</v>
      </c>
      <c r="AF30" s="7">
        <f t="shared" si="7"/>
        <v>747.64</v>
      </c>
      <c r="AG30" s="7">
        <f t="shared" si="7"/>
        <v>787.57999999999993</v>
      </c>
      <c r="AH30" s="7">
        <f t="shared" si="7"/>
        <v>840.89999999999986</v>
      </c>
      <c r="AI30" s="7">
        <f t="shared" si="7"/>
        <v>0</v>
      </c>
    </row>
    <row r="31" spans="1:35" s="3" customFormat="1" ht="24.95" customHeight="1">
      <c r="A31" s="57" t="s">
        <v>62</v>
      </c>
      <c r="B31" s="7" t="s">
        <v>63</v>
      </c>
      <c r="C31" s="7">
        <f>D31+'10月'!C31</f>
        <v>45056.54</v>
      </c>
      <c r="D31" s="7">
        <f t="shared" ref="D31:D37" si="8">SUM(E31:AI31)</f>
        <v>3536.82</v>
      </c>
      <c r="E31" s="17">
        <v>110.74</v>
      </c>
      <c r="F31" s="17">
        <v>24.04</v>
      </c>
      <c r="G31" s="17">
        <v>126.44</v>
      </c>
      <c r="H31" s="18">
        <v>0</v>
      </c>
      <c r="I31" s="17">
        <v>114.64</v>
      </c>
      <c r="J31" s="17">
        <v>117.1</v>
      </c>
      <c r="K31" s="17">
        <v>44.28</v>
      </c>
      <c r="L31" s="17">
        <v>140.82</v>
      </c>
      <c r="M31" s="17">
        <v>87.46</v>
      </c>
      <c r="N31" s="17">
        <v>100.16</v>
      </c>
      <c r="O31" s="27">
        <v>0</v>
      </c>
      <c r="P31" s="7">
        <v>0</v>
      </c>
      <c r="Q31" s="7">
        <v>111.48</v>
      </c>
      <c r="R31" s="7">
        <v>117.1</v>
      </c>
      <c r="S31" s="7">
        <v>209.38</v>
      </c>
      <c r="T31" s="7">
        <v>63.38</v>
      </c>
      <c r="U31" s="29">
        <v>106.96</v>
      </c>
      <c r="V31" s="7">
        <v>83.86</v>
      </c>
      <c r="W31" s="7">
        <v>231.34</v>
      </c>
      <c r="X31" s="7">
        <v>168.16</v>
      </c>
      <c r="Y31" s="7">
        <v>159.19999999999999</v>
      </c>
      <c r="Z31" s="7">
        <v>187.46</v>
      </c>
      <c r="AA31" s="7">
        <v>167.84</v>
      </c>
      <c r="AB31" s="29">
        <v>210.72</v>
      </c>
      <c r="AC31" s="29">
        <v>131</v>
      </c>
      <c r="AD31" s="29">
        <v>141.30000000000001</v>
      </c>
      <c r="AE31" s="29">
        <v>188.72</v>
      </c>
      <c r="AF31" s="29">
        <v>160.36000000000001</v>
      </c>
      <c r="AG31" s="29">
        <v>92.8</v>
      </c>
      <c r="AH31" s="29">
        <v>140.08000000000001</v>
      </c>
      <c r="AI31" s="7"/>
    </row>
    <row r="32" spans="1:35" s="3" customFormat="1" ht="24.95" customHeight="1">
      <c r="A32" s="57"/>
      <c r="B32" s="7" t="s">
        <v>64</v>
      </c>
      <c r="C32" s="7">
        <f>D32+'10月'!C32</f>
        <v>5920.9</v>
      </c>
      <c r="D32" s="7">
        <f t="shared" si="8"/>
        <v>472.54</v>
      </c>
      <c r="E32" s="17"/>
      <c r="F32" s="17"/>
      <c r="G32" s="17">
        <v>31.18</v>
      </c>
      <c r="H32" s="19">
        <v>9.92</v>
      </c>
      <c r="I32" s="17">
        <v>0</v>
      </c>
      <c r="J32" s="17">
        <v>8.4</v>
      </c>
      <c r="K32" s="17">
        <v>0</v>
      </c>
      <c r="L32" s="17">
        <v>19.5</v>
      </c>
      <c r="M32" s="17">
        <v>0</v>
      </c>
      <c r="N32" s="17">
        <v>0</v>
      </c>
      <c r="O32" s="27">
        <v>11.46</v>
      </c>
      <c r="P32" s="7">
        <v>25.7</v>
      </c>
      <c r="Q32" s="7">
        <v>0</v>
      </c>
      <c r="R32" s="7">
        <v>25.68</v>
      </c>
      <c r="S32" s="7">
        <v>0</v>
      </c>
      <c r="T32" s="7">
        <v>43.96</v>
      </c>
      <c r="U32" s="7">
        <v>0</v>
      </c>
      <c r="V32" s="7">
        <v>12.78</v>
      </c>
      <c r="W32" s="7">
        <v>32.119999999999997</v>
      </c>
      <c r="X32" s="7">
        <v>35.08</v>
      </c>
      <c r="Y32" s="7">
        <v>8.4</v>
      </c>
      <c r="Z32" s="7">
        <v>7.32</v>
      </c>
      <c r="AA32" s="7">
        <v>23.88</v>
      </c>
      <c r="AB32" s="20">
        <v>35.92</v>
      </c>
      <c r="AC32" s="20">
        <v>25.24</v>
      </c>
      <c r="AD32" s="20">
        <v>2.14</v>
      </c>
      <c r="AE32" s="20">
        <v>39.1</v>
      </c>
      <c r="AF32" s="20">
        <v>27.38</v>
      </c>
      <c r="AG32" s="20">
        <v>29.42</v>
      </c>
      <c r="AH32" s="20">
        <v>17.96</v>
      </c>
      <c r="AI32" s="7"/>
    </row>
    <row r="33" spans="1:35" s="3" customFormat="1" ht="24.95" customHeight="1">
      <c r="A33" s="57"/>
      <c r="B33" s="6" t="s">
        <v>65</v>
      </c>
      <c r="C33" s="7">
        <f>D33+'10月'!C33</f>
        <v>19731</v>
      </c>
      <c r="D33" s="7">
        <f t="shared" si="8"/>
        <v>585</v>
      </c>
      <c r="E33" s="7"/>
      <c r="F33" s="7">
        <v>43</v>
      </c>
      <c r="G33" s="7"/>
      <c r="H33" s="7"/>
      <c r="I33" s="7">
        <v>25</v>
      </c>
      <c r="J33" s="7">
        <v>0</v>
      </c>
      <c r="K33" s="7">
        <v>0</v>
      </c>
      <c r="L33" s="7">
        <v>31</v>
      </c>
      <c r="M33" s="7">
        <v>0</v>
      </c>
      <c r="N33" s="7">
        <v>0</v>
      </c>
      <c r="O33" s="7">
        <v>59</v>
      </c>
      <c r="P33" s="7">
        <v>0</v>
      </c>
      <c r="Q33" s="7">
        <v>0</v>
      </c>
      <c r="R33" s="7">
        <v>0</v>
      </c>
      <c r="S33" s="7">
        <v>132</v>
      </c>
      <c r="T33" s="7">
        <v>9</v>
      </c>
      <c r="U33" s="7">
        <v>73</v>
      </c>
      <c r="V33" s="7">
        <v>40</v>
      </c>
      <c r="W33" s="7">
        <v>0</v>
      </c>
      <c r="X33" s="7">
        <v>49</v>
      </c>
      <c r="Y33" s="7">
        <v>34</v>
      </c>
      <c r="Z33" s="7">
        <v>7</v>
      </c>
      <c r="AA33" s="7">
        <v>27</v>
      </c>
      <c r="AB33" s="7">
        <v>0</v>
      </c>
      <c r="AC33" s="7">
        <v>35</v>
      </c>
      <c r="AD33" s="7">
        <v>21</v>
      </c>
      <c r="AE33" s="7">
        <v>0</v>
      </c>
      <c r="AF33" s="7">
        <v>0</v>
      </c>
      <c r="AG33" s="7">
        <v>0</v>
      </c>
      <c r="AH33" s="7">
        <v>0</v>
      </c>
      <c r="AI33" s="7"/>
    </row>
    <row r="34" spans="1:35" s="3" customFormat="1" ht="24.95" customHeight="1">
      <c r="A34" s="57"/>
      <c r="B34" s="7" t="s">
        <v>66</v>
      </c>
      <c r="C34" s="7">
        <f>D34+'10月'!C34</f>
        <v>74069</v>
      </c>
      <c r="D34" s="7">
        <f t="shared" si="8"/>
        <v>2938</v>
      </c>
      <c r="E34" s="7">
        <v>173</v>
      </c>
      <c r="F34" s="7">
        <v>204</v>
      </c>
      <c r="G34" s="7">
        <v>219</v>
      </c>
      <c r="H34" s="7">
        <v>31</v>
      </c>
      <c r="I34" s="7">
        <v>182</v>
      </c>
      <c r="J34" s="7">
        <v>183</v>
      </c>
      <c r="K34" s="7">
        <v>167</v>
      </c>
      <c r="L34" s="7">
        <v>200</v>
      </c>
      <c r="M34" s="7">
        <v>66</v>
      </c>
      <c r="N34" s="7">
        <v>62</v>
      </c>
      <c r="O34" s="7">
        <v>63</v>
      </c>
      <c r="P34" s="7">
        <v>50</v>
      </c>
      <c r="Q34" s="7">
        <v>88</v>
      </c>
      <c r="R34" s="7">
        <v>40</v>
      </c>
      <c r="S34" s="7">
        <v>92</v>
      </c>
      <c r="T34" s="7">
        <v>117</v>
      </c>
      <c r="U34" s="7">
        <v>73</v>
      </c>
      <c r="V34" s="7">
        <v>105</v>
      </c>
      <c r="W34" s="7">
        <v>32</v>
      </c>
      <c r="X34" s="7">
        <v>78</v>
      </c>
      <c r="Y34" s="7">
        <v>83</v>
      </c>
      <c r="Z34" s="7">
        <v>67</v>
      </c>
      <c r="AA34" s="7">
        <v>84</v>
      </c>
      <c r="AB34" s="7">
        <v>52</v>
      </c>
      <c r="AC34" s="7">
        <v>69</v>
      </c>
      <c r="AD34" s="7">
        <v>32</v>
      </c>
      <c r="AE34" s="7">
        <v>68</v>
      </c>
      <c r="AF34" s="7">
        <v>48</v>
      </c>
      <c r="AG34" s="7">
        <v>108</v>
      </c>
      <c r="AH34" s="7">
        <v>102</v>
      </c>
      <c r="AI34" s="7"/>
    </row>
    <row r="35" spans="1:35" s="3" customFormat="1" ht="24.95" customHeight="1">
      <c r="A35" s="58" t="s">
        <v>67</v>
      </c>
      <c r="B35" s="7" t="s">
        <v>68</v>
      </c>
      <c r="C35" s="7">
        <f>D35+'10月'!C35</f>
        <v>528.15899999999999</v>
      </c>
      <c r="D35" s="7">
        <f t="shared" si="8"/>
        <v>37.978999999999999</v>
      </c>
      <c r="E35" s="31">
        <v>0.876</v>
      </c>
      <c r="F35" s="31">
        <v>1.0289999999999999</v>
      </c>
      <c r="G35" s="31">
        <v>0.97199999999999998</v>
      </c>
      <c r="H35" s="32">
        <v>0.93899999999999995</v>
      </c>
      <c r="I35" s="32">
        <v>0.78800000000000003</v>
      </c>
      <c r="J35" s="32">
        <v>0.69299999999999995</v>
      </c>
      <c r="K35" s="32">
        <v>0.67900000000000005</v>
      </c>
      <c r="L35" s="32">
        <v>0.68300000000000005</v>
      </c>
      <c r="M35" s="32">
        <v>0.72599999999999998</v>
      </c>
      <c r="N35" s="32">
        <v>0.66800000000000004</v>
      </c>
      <c r="O35" s="34">
        <v>0.69299999999999995</v>
      </c>
      <c r="P35" s="32">
        <v>0.58799999999999997</v>
      </c>
      <c r="Q35" s="32">
        <v>0.88</v>
      </c>
      <c r="R35" s="32">
        <v>1.5489999999999999</v>
      </c>
      <c r="S35" s="32">
        <v>1.548</v>
      </c>
      <c r="T35" s="32">
        <v>1.47</v>
      </c>
      <c r="U35" s="34">
        <v>1.554</v>
      </c>
      <c r="V35" s="32">
        <v>1.56</v>
      </c>
      <c r="W35" s="32">
        <v>1.5589999999999999</v>
      </c>
      <c r="X35" s="32">
        <v>1.609</v>
      </c>
      <c r="Y35" s="32">
        <v>1.744</v>
      </c>
      <c r="Z35" s="32">
        <v>1.7569999999999999</v>
      </c>
      <c r="AA35" s="32">
        <v>1.7250000000000001</v>
      </c>
      <c r="AB35" s="32">
        <v>1.4790000000000001</v>
      </c>
      <c r="AC35" s="32">
        <v>1.5680000000000001</v>
      </c>
      <c r="AD35" s="32">
        <v>1.7529999999999999</v>
      </c>
      <c r="AE35" s="32">
        <v>1.67</v>
      </c>
      <c r="AF35" s="32">
        <v>1.748</v>
      </c>
      <c r="AG35" s="35">
        <v>1.714</v>
      </c>
      <c r="AH35" s="32">
        <v>1.758</v>
      </c>
      <c r="AI35" s="7"/>
    </row>
    <row r="36" spans="1:35" s="3" customFormat="1" ht="24.95" customHeight="1">
      <c r="A36" s="59"/>
      <c r="B36" s="7" t="s">
        <v>69</v>
      </c>
      <c r="C36" s="7">
        <f>D36+'10月'!C36</f>
        <v>2290.1570000000011</v>
      </c>
      <c r="D36" s="7">
        <f t="shared" si="8"/>
        <v>192.06100000000001</v>
      </c>
      <c r="E36" s="33">
        <v>4.415</v>
      </c>
      <c r="F36" s="33">
        <v>4.415</v>
      </c>
      <c r="G36" s="33">
        <v>4.415</v>
      </c>
      <c r="H36" s="33">
        <v>4.415</v>
      </c>
      <c r="I36" s="33">
        <v>4.415</v>
      </c>
      <c r="J36" s="33">
        <v>4.415</v>
      </c>
      <c r="K36" s="33">
        <v>4.415</v>
      </c>
      <c r="L36" s="33">
        <v>4.415</v>
      </c>
      <c r="M36" s="33">
        <v>4.415</v>
      </c>
      <c r="N36" s="33">
        <v>4.415</v>
      </c>
      <c r="O36" s="33">
        <v>4.415</v>
      </c>
      <c r="P36" s="33">
        <v>4.415</v>
      </c>
      <c r="Q36" s="33">
        <v>5.8860000000000001</v>
      </c>
      <c r="R36" s="33">
        <v>7.835</v>
      </c>
      <c r="S36" s="33">
        <v>7.835</v>
      </c>
      <c r="T36" s="33">
        <v>7.835</v>
      </c>
      <c r="U36" s="33">
        <v>7.835</v>
      </c>
      <c r="V36" s="33">
        <v>7.835</v>
      </c>
      <c r="W36" s="33">
        <v>7.835</v>
      </c>
      <c r="X36" s="33">
        <v>7.835</v>
      </c>
      <c r="Y36" s="33">
        <v>7.835</v>
      </c>
      <c r="Z36" s="33">
        <v>7.835</v>
      </c>
      <c r="AA36" s="33">
        <v>7.835</v>
      </c>
      <c r="AB36" s="33">
        <v>7.835</v>
      </c>
      <c r="AC36" s="33">
        <v>7.835</v>
      </c>
      <c r="AD36" s="33">
        <v>7.835</v>
      </c>
      <c r="AE36" s="33">
        <v>7.835</v>
      </c>
      <c r="AF36" s="33">
        <v>7.835</v>
      </c>
      <c r="AG36" s="33">
        <v>7.835</v>
      </c>
      <c r="AH36" s="33">
        <v>7.835</v>
      </c>
      <c r="AI36" s="7"/>
    </row>
    <row r="37" spans="1:35" s="3" customFormat="1" ht="24.95" customHeight="1">
      <c r="A37" s="60"/>
      <c r="B37" s="7" t="s">
        <v>70</v>
      </c>
      <c r="C37" s="7">
        <f>D37+'10月'!C37</f>
        <v>97.934000000000026</v>
      </c>
      <c r="D37" s="7">
        <f t="shared" si="8"/>
        <v>6.9100000000000019</v>
      </c>
      <c r="E37" s="33">
        <v>0.11</v>
      </c>
      <c r="F37" s="33">
        <v>0.11</v>
      </c>
      <c r="G37" s="33">
        <v>0.11</v>
      </c>
      <c r="H37" s="33">
        <v>0.11</v>
      </c>
      <c r="I37" s="33">
        <v>0.11</v>
      </c>
      <c r="J37" s="33">
        <v>0.11</v>
      </c>
      <c r="K37" s="33">
        <v>0.11</v>
      </c>
      <c r="L37" s="33">
        <v>0.11</v>
      </c>
      <c r="M37" s="33">
        <v>0.11</v>
      </c>
      <c r="N37" s="33">
        <v>0.11</v>
      </c>
      <c r="O37" s="33">
        <v>0.11</v>
      </c>
      <c r="P37" s="33">
        <v>0.11</v>
      </c>
      <c r="Q37" s="33">
        <v>0.15</v>
      </c>
      <c r="R37" s="33">
        <v>0.32</v>
      </c>
      <c r="S37" s="33">
        <v>0.32</v>
      </c>
      <c r="T37" s="33">
        <v>0.32</v>
      </c>
      <c r="U37" s="33">
        <v>0.32</v>
      </c>
      <c r="V37" s="33">
        <v>0.32</v>
      </c>
      <c r="W37" s="33">
        <v>0.32</v>
      </c>
      <c r="X37" s="33">
        <v>0.32</v>
      </c>
      <c r="Y37" s="33">
        <v>0.32</v>
      </c>
      <c r="Z37" s="33">
        <v>0.32</v>
      </c>
      <c r="AA37" s="33">
        <v>0.32</v>
      </c>
      <c r="AB37" s="33">
        <v>0.32</v>
      </c>
      <c r="AC37" s="33">
        <v>0.32</v>
      </c>
      <c r="AD37" s="33">
        <v>0.32</v>
      </c>
      <c r="AE37" s="33">
        <v>0.32</v>
      </c>
      <c r="AF37" s="33">
        <v>0.32</v>
      </c>
      <c r="AG37" s="33">
        <v>0.32</v>
      </c>
      <c r="AH37" s="33">
        <v>0.32</v>
      </c>
      <c r="AI37" s="7"/>
    </row>
    <row r="38" spans="1:35" s="1" customFormat="1" ht="18" customHeight="1">
      <c r="B38" s="22" t="s">
        <v>71</v>
      </c>
      <c r="C38" s="23">
        <f>C31/C5</f>
        <v>0.19032117580716354</v>
      </c>
      <c r="D38" s="23">
        <f>D31/D5</f>
        <v>0.19163316392323446</v>
      </c>
      <c r="G38" s="24"/>
    </row>
    <row r="39" spans="1:35" s="1" customFormat="1" ht="18" customHeight="1">
      <c r="B39" s="22" t="s">
        <v>72</v>
      </c>
      <c r="C39" s="23">
        <f>C32/C5</f>
        <v>2.5010190525873371E-2</v>
      </c>
      <c r="D39" s="23">
        <f>D32/D5</f>
        <v>2.5603320293451522E-2</v>
      </c>
      <c r="G39" s="24"/>
    </row>
    <row r="40" spans="1:35" s="1" customFormat="1" ht="18" customHeight="1">
      <c r="B40" s="22" t="s">
        <v>73</v>
      </c>
      <c r="C40" s="23">
        <f>C33/C5</f>
        <v>8.3344773474641948E-2</v>
      </c>
      <c r="D40" s="23">
        <f>D33/D5</f>
        <v>3.1696665619141536E-2</v>
      </c>
      <c r="G40" s="24"/>
    </row>
    <row r="41" spans="1:35">
      <c r="G41" s="25"/>
    </row>
    <row r="42" spans="1:35">
      <c r="G42" s="25"/>
    </row>
    <row r="43" spans="1:35">
      <c r="G43" s="25"/>
    </row>
    <row r="44" spans="1:35">
      <c r="G44" s="25"/>
    </row>
    <row r="45" spans="1:35">
      <c r="G45" s="25"/>
    </row>
    <row r="46" spans="1:35">
      <c r="G46" s="25"/>
    </row>
    <row r="47" spans="1:35">
      <c r="G47" s="25"/>
    </row>
    <row r="48" spans="1:35">
      <c r="G48" s="25"/>
    </row>
    <row r="49" spans="7:7">
      <c r="G49" s="25"/>
    </row>
    <row r="50" spans="7:7">
      <c r="G50" s="25"/>
    </row>
    <row r="51" spans="7:7">
      <c r="G51" s="25"/>
    </row>
    <row r="52" spans="7:7">
      <c r="G52" s="25"/>
    </row>
    <row r="53" spans="7:7">
      <c r="G53" s="25"/>
    </row>
    <row r="54" spans="7:7">
      <c r="G54" s="25"/>
    </row>
    <row r="55" spans="7:7">
      <c r="G55" s="25"/>
    </row>
    <row r="56" spans="7:7">
      <c r="G56" s="25"/>
    </row>
    <row r="57" spans="7:7">
      <c r="G57" s="25"/>
    </row>
    <row r="58" spans="7:7">
      <c r="G58" s="25"/>
    </row>
    <row r="59" spans="7:7">
      <c r="G59" s="25"/>
    </row>
    <row r="60" spans="7:7">
      <c r="G60" s="25"/>
    </row>
    <row r="61" spans="7:7">
      <c r="G61" s="25"/>
    </row>
    <row r="62" spans="7:7">
      <c r="G62" s="25"/>
    </row>
    <row r="63" spans="7:7">
      <c r="G63" s="25"/>
    </row>
  </sheetData>
  <mergeCells count="10">
    <mergeCell ref="A35:A37"/>
    <mergeCell ref="A13:A15"/>
    <mergeCell ref="A16:A17"/>
    <mergeCell ref="A19:A29"/>
    <mergeCell ref="A31:A34"/>
    <mergeCell ref="A1:B1"/>
    <mergeCell ref="C1:AI1"/>
    <mergeCell ref="A3:A5"/>
    <mergeCell ref="A6:A8"/>
    <mergeCell ref="A9:A12"/>
  </mergeCells>
  <phoneticPr fontId="12" type="noConversion"/>
  <pageMargins left="0.69930555555555596" right="0.69930555555555596" top="0.75" bottom="0.75" header="0.3" footer="0.3"/>
  <pageSetup paperSize="8" scale="57" orientation="landscape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63"/>
  <sheetViews>
    <sheetView tabSelected="1" zoomScale="160" zoomScaleNormal="160" workbookViewId="0">
      <pane xSplit="4" topLeftCell="E1" activePane="topRight" state="frozen"/>
      <selection pane="topRight" activeCell="E39" sqref="E39"/>
    </sheetView>
  </sheetViews>
  <sheetFormatPr defaultColWidth="9" defaultRowHeight="13.5"/>
  <cols>
    <col min="1" max="1" width="8.75" style="4" customWidth="1"/>
    <col min="2" max="2" width="13.625" style="4" customWidth="1"/>
    <col min="3" max="3" width="13.25" style="4" customWidth="1"/>
    <col min="4" max="4" width="10.5" style="4" customWidth="1"/>
    <col min="5" max="6" width="9" style="4"/>
    <col min="7" max="12" width="9" style="4" customWidth="1"/>
    <col min="13" max="13" width="10.875" style="4" customWidth="1"/>
    <col min="14" max="16" width="9" style="4" customWidth="1"/>
    <col min="17" max="17" width="11" style="4" customWidth="1"/>
    <col min="18" max="31" width="9" style="4" customWidth="1"/>
    <col min="32" max="32" width="9" style="4"/>
    <col min="33" max="33" width="9" style="4" customWidth="1"/>
    <col min="34" max="34" width="8.375" style="4" customWidth="1"/>
    <col min="35" max="35" width="9" style="4" customWidth="1"/>
    <col min="36" max="16384" width="9" style="4"/>
  </cols>
  <sheetData>
    <row r="1" spans="1:35" s="1" customFormat="1" ht="42.75" customHeight="1">
      <c r="A1" s="53">
        <v>44531</v>
      </c>
      <c r="B1" s="54"/>
      <c r="C1" s="55" t="s">
        <v>0</v>
      </c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55"/>
      <c r="X1" s="55"/>
      <c r="Y1" s="55"/>
      <c r="Z1" s="55"/>
      <c r="AA1" s="55"/>
      <c r="AB1" s="55"/>
      <c r="AC1" s="55"/>
      <c r="AD1" s="55"/>
      <c r="AE1" s="55"/>
      <c r="AF1" s="55"/>
      <c r="AG1" s="55"/>
      <c r="AH1" s="55"/>
      <c r="AI1" s="55"/>
    </row>
    <row r="2" spans="1:35" s="2" customFormat="1" ht="24.95" customHeight="1">
      <c r="A2" s="5"/>
      <c r="B2" s="5" t="s">
        <v>1</v>
      </c>
      <c r="C2" s="5" t="s">
        <v>2</v>
      </c>
      <c r="D2" s="5" t="s">
        <v>3</v>
      </c>
      <c r="E2" s="5" t="s">
        <v>4</v>
      </c>
      <c r="F2" s="5" t="s">
        <v>5</v>
      </c>
      <c r="G2" s="5" t="s">
        <v>6</v>
      </c>
      <c r="H2" s="5" t="s">
        <v>7</v>
      </c>
      <c r="I2" s="5" t="s">
        <v>8</v>
      </c>
      <c r="J2" s="5" t="s">
        <v>9</v>
      </c>
      <c r="K2" s="5" t="s">
        <v>10</v>
      </c>
      <c r="L2" s="5" t="s">
        <v>11</v>
      </c>
      <c r="M2" s="5" t="s">
        <v>12</v>
      </c>
      <c r="N2" s="5" t="s">
        <v>13</v>
      </c>
      <c r="O2" s="5" t="s">
        <v>14</v>
      </c>
      <c r="P2" s="5" t="s">
        <v>15</v>
      </c>
      <c r="Q2" s="5" t="s">
        <v>16</v>
      </c>
      <c r="R2" s="5" t="s">
        <v>17</v>
      </c>
      <c r="S2" s="5" t="s">
        <v>18</v>
      </c>
      <c r="T2" s="5" t="s">
        <v>19</v>
      </c>
      <c r="U2" s="5" t="s">
        <v>20</v>
      </c>
      <c r="V2" s="5" t="s">
        <v>21</v>
      </c>
      <c r="W2" s="5" t="s">
        <v>22</v>
      </c>
      <c r="X2" s="5" t="s">
        <v>23</v>
      </c>
      <c r="Y2" s="5" t="s">
        <v>24</v>
      </c>
      <c r="Z2" s="5" t="s">
        <v>25</v>
      </c>
      <c r="AA2" s="5" t="s">
        <v>26</v>
      </c>
      <c r="AB2" s="5" t="s">
        <v>27</v>
      </c>
      <c r="AC2" s="5" t="s">
        <v>28</v>
      </c>
      <c r="AD2" s="5" t="s">
        <v>29</v>
      </c>
      <c r="AE2" s="5" t="s">
        <v>30</v>
      </c>
      <c r="AF2" s="5" t="s">
        <v>31</v>
      </c>
      <c r="AG2" s="5" t="s">
        <v>32</v>
      </c>
      <c r="AH2" s="5" t="s">
        <v>33</v>
      </c>
      <c r="AI2" s="5" t="s">
        <v>34</v>
      </c>
    </row>
    <row r="3" spans="1:35" s="3" customFormat="1" ht="25.5" customHeight="1">
      <c r="A3" s="56" t="s">
        <v>35</v>
      </c>
      <c r="B3" s="7" t="s">
        <v>36</v>
      </c>
      <c r="C3" s="7">
        <f>D3+'11月'!C3</f>
        <v>124940.09999999998</v>
      </c>
      <c r="D3" s="7">
        <f>SUM(E3:AI3)</f>
        <v>12218.299999999997</v>
      </c>
      <c r="E3" s="7">
        <v>390.6</v>
      </c>
      <c r="F3" s="7">
        <v>387.1</v>
      </c>
      <c r="G3" s="7">
        <v>390.9</v>
      </c>
      <c r="H3" s="7">
        <v>386.5</v>
      </c>
      <c r="I3" s="7">
        <v>387.7</v>
      </c>
      <c r="J3" s="7">
        <v>377.4</v>
      </c>
      <c r="K3" s="7">
        <v>389.2</v>
      </c>
      <c r="L3" s="7">
        <v>389</v>
      </c>
      <c r="M3" s="7">
        <v>416.3</v>
      </c>
      <c r="N3" s="7">
        <v>404.7</v>
      </c>
      <c r="O3" s="7">
        <v>410.1</v>
      </c>
      <c r="P3" s="7">
        <v>377.9</v>
      </c>
      <c r="Q3" s="7">
        <v>383.4</v>
      </c>
      <c r="R3" s="7">
        <v>384.7</v>
      </c>
      <c r="S3" s="7">
        <v>392.9</v>
      </c>
      <c r="T3" s="7">
        <v>389.7</v>
      </c>
      <c r="U3" s="7">
        <v>402.5</v>
      </c>
      <c r="V3" s="7">
        <v>419.6</v>
      </c>
      <c r="W3" s="7">
        <v>408.7</v>
      </c>
      <c r="X3" s="7">
        <v>415.9</v>
      </c>
      <c r="Y3" s="7">
        <v>394.3</v>
      </c>
      <c r="Z3" s="7">
        <v>387.9</v>
      </c>
      <c r="AA3" s="7">
        <v>385.5</v>
      </c>
      <c r="AB3" s="7">
        <v>368.3</v>
      </c>
      <c r="AC3" s="7">
        <v>413.5</v>
      </c>
      <c r="AD3" s="7">
        <v>401.4</v>
      </c>
      <c r="AE3" s="7">
        <v>412.7</v>
      </c>
      <c r="AF3" s="7">
        <v>420.8</v>
      </c>
      <c r="AG3" s="7">
        <v>376.1</v>
      </c>
      <c r="AH3" s="7">
        <v>382.4</v>
      </c>
      <c r="AI3" s="30">
        <v>370.6</v>
      </c>
    </row>
    <row r="4" spans="1:35" s="3" customFormat="1" ht="26.25" customHeight="1">
      <c r="A4" s="56"/>
      <c r="B4" s="7" t="s">
        <v>37</v>
      </c>
      <c r="C4" s="7">
        <f>D4+'11月'!C4</f>
        <v>137390.80000000002</v>
      </c>
      <c r="D4" s="7">
        <f t="shared" ref="D4:D9" si="0">SUM(E4:AI4)</f>
        <v>13373.099999999999</v>
      </c>
      <c r="E4" s="7">
        <v>435.7</v>
      </c>
      <c r="F4" s="7">
        <v>412.9</v>
      </c>
      <c r="G4" s="7">
        <v>424.2</v>
      </c>
      <c r="H4" s="7">
        <v>415.8</v>
      </c>
      <c r="I4" s="7">
        <v>407.9</v>
      </c>
      <c r="J4" s="7">
        <v>433.2</v>
      </c>
      <c r="K4" s="7">
        <v>418.6</v>
      </c>
      <c r="L4" s="7">
        <v>417.4</v>
      </c>
      <c r="M4" s="7">
        <v>452.5</v>
      </c>
      <c r="N4" s="7">
        <v>470.1</v>
      </c>
      <c r="O4" s="7">
        <v>446.7</v>
      </c>
      <c r="P4" s="7">
        <v>424.2</v>
      </c>
      <c r="Q4" s="7">
        <v>412.2</v>
      </c>
      <c r="R4" s="7">
        <v>413.5</v>
      </c>
      <c r="S4" s="7">
        <v>415.4</v>
      </c>
      <c r="T4" s="7">
        <v>412.7</v>
      </c>
      <c r="U4" s="7">
        <v>444.7</v>
      </c>
      <c r="V4" s="7">
        <v>442.7</v>
      </c>
      <c r="W4" s="7">
        <v>446.9</v>
      </c>
      <c r="X4" s="7">
        <v>446.8</v>
      </c>
      <c r="Y4" s="7">
        <v>427.6</v>
      </c>
      <c r="Z4" s="7">
        <v>408.4</v>
      </c>
      <c r="AA4" s="7">
        <v>439.3</v>
      </c>
      <c r="AB4" s="7">
        <v>445.1</v>
      </c>
      <c r="AC4" s="7">
        <v>442.4</v>
      </c>
      <c r="AD4" s="7">
        <v>461.5</v>
      </c>
      <c r="AE4" s="7">
        <v>461.4</v>
      </c>
      <c r="AF4" s="7">
        <v>469.2</v>
      </c>
      <c r="AG4" s="7">
        <v>396.6</v>
      </c>
      <c r="AH4" s="30">
        <v>425.7</v>
      </c>
      <c r="AI4" s="7">
        <v>401.8</v>
      </c>
    </row>
    <row r="5" spans="1:35" s="3" customFormat="1" ht="24.95" customHeight="1">
      <c r="A5" s="56"/>
      <c r="B5" s="7" t="s">
        <v>38</v>
      </c>
      <c r="C5" s="7">
        <f>D5+'11月'!C5</f>
        <v>262330.90000000002</v>
      </c>
      <c r="D5" s="7">
        <f t="shared" si="0"/>
        <v>25591.4</v>
      </c>
      <c r="E5" s="7">
        <f>E3+E4</f>
        <v>826.3</v>
      </c>
      <c r="F5" s="7">
        <f t="shared" ref="F5:AI5" si="1">F3+F4</f>
        <v>800</v>
      </c>
      <c r="G5" s="7">
        <f t="shared" si="1"/>
        <v>815.09999999999991</v>
      </c>
      <c r="H5" s="7">
        <f t="shared" si="1"/>
        <v>802.3</v>
      </c>
      <c r="I5" s="7">
        <f t="shared" si="1"/>
        <v>795.59999999999991</v>
      </c>
      <c r="J5" s="7">
        <f t="shared" si="1"/>
        <v>810.59999999999991</v>
      </c>
      <c r="K5" s="7">
        <f t="shared" si="1"/>
        <v>807.8</v>
      </c>
      <c r="L5" s="7">
        <f t="shared" si="1"/>
        <v>806.4</v>
      </c>
      <c r="M5" s="7">
        <f t="shared" si="1"/>
        <v>868.8</v>
      </c>
      <c r="N5" s="7">
        <f t="shared" si="1"/>
        <v>874.8</v>
      </c>
      <c r="O5" s="7">
        <f t="shared" si="1"/>
        <v>856.8</v>
      </c>
      <c r="P5" s="7">
        <f t="shared" si="1"/>
        <v>802.09999999999991</v>
      </c>
      <c r="Q5" s="7">
        <f t="shared" si="1"/>
        <v>795.59999999999991</v>
      </c>
      <c r="R5" s="7">
        <f t="shared" si="1"/>
        <v>798.2</v>
      </c>
      <c r="S5" s="7">
        <f t="shared" si="1"/>
        <v>808.3</v>
      </c>
      <c r="T5" s="7">
        <f t="shared" si="1"/>
        <v>802.4</v>
      </c>
      <c r="U5" s="7">
        <f t="shared" si="1"/>
        <v>847.2</v>
      </c>
      <c r="V5" s="7">
        <f t="shared" si="1"/>
        <v>862.3</v>
      </c>
      <c r="W5" s="7">
        <f t="shared" si="1"/>
        <v>855.59999999999991</v>
      </c>
      <c r="X5" s="7">
        <f t="shared" si="1"/>
        <v>862.7</v>
      </c>
      <c r="Y5" s="7">
        <f t="shared" si="1"/>
        <v>821.90000000000009</v>
      </c>
      <c r="Z5" s="7">
        <f t="shared" si="1"/>
        <v>796.3</v>
      </c>
      <c r="AA5" s="7">
        <f t="shared" si="1"/>
        <v>824.8</v>
      </c>
      <c r="AB5" s="7">
        <f t="shared" si="1"/>
        <v>813.40000000000009</v>
      </c>
      <c r="AC5" s="7">
        <f t="shared" si="1"/>
        <v>855.9</v>
      </c>
      <c r="AD5" s="7">
        <f t="shared" si="1"/>
        <v>862.9</v>
      </c>
      <c r="AE5" s="7">
        <f t="shared" si="1"/>
        <v>874.09999999999991</v>
      </c>
      <c r="AF5" s="7">
        <f t="shared" si="1"/>
        <v>890</v>
      </c>
      <c r="AG5" s="7">
        <f t="shared" si="1"/>
        <v>772.7</v>
      </c>
      <c r="AH5" s="7">
        <f t="shared" si="1"/>
        <v>808.09999999999991</v>
      </c>
      <c r="AI5" s="7">
        <f t="shared" si="1"/>
        <v>772.40000000000009</v>
      </c>
    </row>
    <row r="6" spans="1:35" s="3" customFormat="1" ht="24.95" customHeight="1">
      <c r="A6" s="56" t="s">
        <v>39</v>
      </c>
      <c r="B6" s="7" t="s">
        <v>40</v>
      </c>
      <c r="C6" s="7">
        <f>D6+'11月'!C6</f>
        <v>57919036</v>
      </c>
      <c r="D6" s="7">
        <f t="shared" si="0"/>
        <v>5682960</v>
      </c>
      <c r="E6" s="7">
        <v>190800</v>
      </c>
      <c r="F6" s="7">
        <v>191040</v>
      </c>
      <c r="G6" s="7">
        <v>185520</v>
      </c>
      <c r="H6" s="7">
        <v>188160</v>
      </c>
      <c r="I6" s="7">
        <v>187440</v>
      </c>
      <c r="J6" s="7">
        <v>186000</v>
      </c>
      <c r="K6" s="7">
        <v>186240</v>
      </c>
      <c r="L6" s="7">
        <v>190800</v>
      </c>
      <c r="M6" s="7">
        <v>184080</v>
      </c>
      <c r="N6" s="7">
        <v>185760</v>
      </c>
      <c r="O6" s="7">
        <v>195840</v>
      </c>
      <c r="P6" s="26">
        <v>190800</v>
      </c>
      <c r="Q6" s="7">
        <v>183360</v>
      </c>
      <c r="R6" s="7">
        <v>185040</v>
      </c>
      <c r="S6" s="7">
        <v>186720</v>
      </c>
      <c r="T6" s="7">
        <v>185760</v>
      </c>
      <c r="U6" s="26">
        <v>181680</v>
      </c>
      <c r="V6" s="7">
        <v>183600</v>
      </c>
      <c r="W6" s="7">
        <v>189360</v>
      </c>
      <c r="X6" s="7">
        <v>176880</v>
      </c>
      <c r="Y6" s="7">
        <v>175200</v>
      </c>
      <c r="Z6" s="7">
        <v>181200</v>
      </c>
      <c r="AA6" s="7">
        <v>169680</v>
      </c>
      <c r="AB6" s="7">
        <v>175680</v>
      </c>
      <c r="AC6" s="7">
        <v>185760</v>
      </c>
      <c r="AD6" s="7">
        <v>180000</v>
      </c>
      <c r="AE6" s="7">
        <v>180000</v>
      </c>
      <c r="AF6" s="7">
        <v>185040</v>
      </c>
      <c r="AG6" s="7">
        <v>174240</v>
      </c>
      <c r="AH6" s="7">
        <v>170400</v>
      </c>
      <c r="AI6" s="7">
        <v>170880</v>
      </c>
    </row>
    <row r="7" spans="1:35" s="3" customFormat="1" ht="24.95" customHeight="1">
      <c r="A7" s="56"/>
      <c r="B7" s="7" t="s">
        <v>41</v>
      </c>
      <c r="C7" s="7">
        <f>D7+'11月'!C7</f>
        <v>49881414</v>
      </c>
      <c r="D7" s="7">
        <f t="shared" si="0"/>
        <v>4836720</v>
      </c>
      <c r="E7" s="7">
        <v>161040</v>
      </c>
      <c r="F7" s="7">
        <v>154800</v>
      </c>
      <c r="G7" s="7">
        <v>167520</v>
      </c>
      <c r="H7" s="7">
        <v>172560</v>
      </c>
      <c r="I7" s="7">
        <v>167760</v>
      </c>
      <c r="J7" s="7">
        <v>164400</v>
      </c>
      <c r="K7" s="7">
        <v>172560</v>
      </c>
      <c r="L7" s="7">
        <v>166320</v>
      </c>
      <c r="M7" s="7">
        <v>165360</v>
      </c>
      <c r="N7" s="7">
        <v>172320</v>
      </c>
      <c r="O7" s="7">
        <v>175440</v>
      </c>
      <c r="P7" s="26">
        <v>167520</v>
      </c>
      <c r="Q7" s="7">
        <v>163680</v>
      </c>
      <c r="R7" s="7">
        <v>166080</v>
      </c>
      <c r="S7" s="7">
        <v>168960</v>
      </c>
      <c r="T7" s="7">
        <v>167280</v>
      </c>
      <c r="U7" s="7">
        <v>146160</v>
      </c>
      <c r="V7" s="7">
        <v>150240</v>
      </c>
      <c r="W7" s="7">
        <v>151440</v>
      </c>
      <c r="X7" s="7">
        <v>132000</v>
      </c>
      <c r="Y7" s="7">
        <v>124320</v>
      </c>
      <c r="Z7" s="7">
        <v>127920</v>
      </c>
      <c r="AA7" s="7">
        <v>116640</v>
      </c>
      <c r="AB7" s="7">
        <v>144000</v>
      </c>
      <c r="AC7" s="7">
        <v>162720</v>
      </c>
      <c r="AD7" s="7">
        <v>158640</v>
      </c>
      <c r="AE7" s="7">
        <v>150000</v>
      </c>
      <c r="AF7" s="7">
        <v>165360</v>
      </c>
      <c r="AG7" s="7">
        <v>150480</v>
      </c>
      <c r="AH7" s="7">
        <v>140640</v>
      </c>
      <c r="AI7" s="26">
        <v>142560</v>
      </c>
    </row>
    <row r="8" spans="1:35" s="3" customFormat="1" ht="24.75" customHeight="1">
      <c r="A8" s="56"/>
      <c r="B8" s="7" t="s">
        <v>38</v>
      </c>
      <c r="C8" s="7">
        <f>D8+'11月'!C8</f>
        <v>107800450</v>
      </c>
      <c r="D8" s="7">
        <f t="shared" si="0"/>
        <v>10519680</v>
      </c>
      <c r="E8" s="7">
        <f>E6+E7</f>
        <v>351840</v>
      </c>
      <c r="F8" s="7">
        <f t="shared" ref="F8:AI8" si="2">F6+F7</f>
        <v>345840</v>
      </c>
      <c r="G8" s="7">
        <f t="shared" si="2"/>
        <v>353040</v>
      </c>
      <c r="H8" s="7">
        <f t="shared" si="2"/>
        <v>360720</v>
      </c>
      <c r="I8" s="7">
        <f t="shared" si="2"/>
        <v>355200</v>
      </c>
      <c r="J8" s="7">
        <f t="shared" si="2"/>
        <v>350400</v>
      </c>
      <c r="K8" s="7">
        <f t="shared" si="2"/>
        <v>358800</v>
      </c>
      <c r="L8" s="7">
        <f t="shared" si="2"/>
        <v>357120</v>
      </c>
      <c r="M8" s="7">
        <f t="shared" si="2"/>
        <v>349440</v>
      </c>
      <c r="N8" s="7">
        <f t="shared" si="2"/>
        <v>358080</v>
      </c>
      <c r="O8" s="7">
        <f t="shared" si="2"/>
        <v>371280</v>
      </c>
      <c r="P8" s="7">
        <f t="shared" si="2"/>
        <v>358320</v>
      </c>
      <c r="Q8" s="7">
        <f t="shared" si="2"/>
        <v>347040</v>
      </c>
      <c r="R8" s="7">
        <f t="shared" si="2"/>
        <v>351120</v>
      </c>
      <c r="S8" s="7">
        <f t="shared" si="2"/>
        <v>355680</v>
      </c>
      <c r="T8" s="7">
        <f t="shared" si="2"/>
        <v>353040</v>
      </c>
      <c r="U8" s="7">
        <f t="shared" si="2"/>
        <v>327840</v>
      </c>
      <c r="V8" s="7">
        <f t="shared" si="2"/>
        <v>333840</v>
      </c>
      <c r="W8" s="7">
        <f t="shared" si="2"/>
        <v>340800</v>
      </c>
      <c r="X8" s="7">
        <f t="shared" si="2"/>
        <v>308880</v>
      </c>
      <c r="Y8" s="7">
        <f t="shared" si="2"/>
        <v>299520</v>
      </c>
      <c r="Z8" s="7">
        <f t="shared" si="2"/>
        <v>309120</v>
      </c>
      <c r="AA8" s="7">
        <f t="shared" si="2"/>
        <v>286320</v>
      </c>
      <c r="AB8" s="7">
        <f t="shared" si="2"/>
        <v>319680</v>
      </c>
      <c r="AC8" s="7">
        <f t="shared" si="2"/>
        <v>348480</v>
      </c>
      <c r="AD8" s="7">
        <f t="shared" si="2"/>
        <v>338640</v>
      </c>
      <c r="AE8" s="7">
        <f t="shared" si="2"/>
        <v>330000</v>
      </c>
      <c r="AF8" s="7">
        <f t="shared" si="2"/>
        <v>350400</v>
      </c>
      <c r="AG8" s="7">
        <f t="shared" si="2"/>
        <v>324720</v>
      </c>
      <c r="AH8" s="7">
        <f t="shared" si="2"/>
        <v>311040</v>
      </c>
      <c r="AI8" s="7">
        <f t="shared" si="2"/>
        <v>313440</v>
      </c>
    </row>
    <row r="9" spans="1:35" s="3" customFormat="1" ht="24.95" customHeight="1">
      <c r="A9" s="56" t="s">
        <v>42</v>
      </c>
      <c r="B9" s="7" t="s">
        <v>38</v>
      </c>
      <c r="C9" s="7">
        <f>D9+'11月'!C9</f>
        <v>90344231</v>
      </c>
      <c r="D9" s="7">
        <f t="shared" si="0"/>
        <v>8964280</v>
      </c>
      <c r="E9" s="7">
        <v>305960</v>
      </c>
      <c r="F9" s="7">
        <v>298100</v>
      </c>
      <c r="G9" s="7">
        <v>303700</v>
      </c>
      <c r="H9" s="7">
        <v>310120</v>
      </c>
      <c r="I9" s="7">
        <v>304340</v>
      </c>
      <c r="J9" s="7">
        <v>299720</v>
      </c>
      <c r="K9" s="7">
        <v>308100</v>
      </c>
      <c r="L9" s="7">
        <v>308460</v>
      </c>
      <c r="M9" s="7">
        <v>299160</v>
      </c>
      <c r="N9" s="7">
        <v>308280</v>
      </c>
      <c r="O9" s="7">
        <v>321400</v>
      </c>
      <c r="P9" s="7">
        <v>308140</v>
      </c>
      <c r="Q9" s="7">
        <v>295080</v>
      </c>
      <c r="R9" s="7">
        <v>299140</v>
      </c>
      <c r="S9" s="7">
        <v>304360</v>
      </c>
      <c r="T9" s="7">
        <v>302180</v>
      </c>
      <c r="U9" s="7">
        <v>276960</v>
      </c>
      <c r="V9" s="7">
        <v>282700</v>
      </c>
      <c r="W9" s="7">
        <v>292360</v>
      </c>
      <c r="X9" s="7">
        <v>259360</v>
      </c>
      <c r="Y9" s="7">
        <v>248440</v>
      </c>
      <c r="Z9" s="7">
        <v>260840</v>
      </c>
      <c r="AA9" s="7">
        <v>238320</v>
      </c>
      <c r="AB9" s="7">
        <v>268960</v>
      </c>
      <c r="AC9" s="7">
        <v>298060</v>
      </c>
      <c r="AD9" s="7">
        <v>287400</v>
      </c>
      <c r="AE9" s="7">
        <v>278020</v>
      </c>
      <c r="AF9" s="7">
        <v>298900</v>
      </c>
      <c r="AG9" s="7">
        <v>273000</v>
      </c>
      <c r="AH9" s="7">
        <v>262040</v>
      </c>
      <c r="AI9" s="7">
        <v>262680</v>
      </c>
    </row>
    <row r="10" spans="1:35" s="3" customFormat="1" ht="24.95" customHeight="1">
      <c r="A10" s="56"/>
      <c r="B10" s="6" t="s">
        <v>43</v>
      </c>
      <c r="C10" s="8">
        <f>SUM(C8/C5)</f>
        <v>410.93310014184374</v>
      </c>
      <c r="D10" s="8">
        <f t="shared" ref="D10:AI10" si="3">SUM(D8/D5)</f>
        <v>411.06309150730323</v>
      </c>
      <c r="E10" s="8">
        <f t="shared" si="3"/>
        <v>425.80176691274357</v>
      </c>
      <c r="F10" s="8">
        <f t="shared" si="3"/>
        <v>432.3</v>
      </c>
      <c r="G10" s="8">
        <f t="shared" si="3"/>
        <v>433.12476996687531</v>
      </c>
      <c r="H10" s="8">
        <f t="shared" si="3"/>
        <v>449.60737878599031</v>
      </c>
      <c r="I10" s="8">
        <f t="shared" si="3"/>
        <v>446.45550527903475</v>
      </c>
      <c r="J10" s="8">
        <f t="shared" si="3"/>
        <v>432.27239082161367</v>
      </c>
      <c r="K10" s="8">
        <f t="shared" si="3"/>
        <v>444.16934884872495</v>
      </c>
      <c r="L10" s="8">
        <f t="shared" si="3"/>
        <v>442.85714285714289</v>
      </c>
      <c r="M10" s="8">
        <f t="shared" si="3"/>
        <v>402.20994475138122</v>
      </c>
      <c r="N10" s="8">
        <f t="shared" si="3"/>
        <v>409.32784636488344</v>
      </c>
      <c r="O10" s="8">
        <f t="shared" si="3"/>
        <v>433.33333333333337</v>
      </c>
      <c r="P10" s="8">
        <f t="shared" si="3"/>
        <v>446.72734073058228</v>
      </c>
      <c r="Q10" s="8">
        <f t="shared" si="3"/>
        <v>436.19909502262448</v>
      </c>
      <c r="R10" s="8">
        <f t="shared" si="3"/>
        <v>439.88975194186918</v>
      </c>
      <c r="S10" s="8">
        <f t="shared" si="3"/>
        <v>440.03464060373625</v>
      </c>
      <c r="T10" s="8">
        <f t="shared" si="3"/>
        <v>439.98005982053837</v>
      </c>
      <c r="U10" s="8">
        <f t="shared" si="3"/>
        <v>386.96883852691218</v>
      </c>
      <c r="V10" s="8">
        <f t="shared" si="3"/>
        <v>387.15064362750786</v>
      </c>
      <c r="W10" s="8">
        <f t="shared" si="3"/>
        <v>398.31697054698463</v>
      </c>
      <c r="X10" s="8">
        <f t="shared" si="3"/>
        <v>358.03871566013675</v>
      </c>
      <c r="Y10" s="8">
        <f t="shared" si="3"/>
        <v>364.42389585107674</v>
      </c>
      <c r="Z10" s="8">
        <f t="shared" si="3"/>
        <v>388.1954037423082</v>
      </c>
      <c r="AA10" s="8">
        <f t="shared" si="3"/>
        <v>347.13870029097967</v>
      </c>
      <c r="AB10" s="8">
        <f t="shared" si="3"/>
        <v>393.01696582247354</v>
      </c>
      <c r="AC10" s="8">
        <f t="shared" si="3"/>
        <v>407.15036803364882</v>
      </c>
      <c r="AD10" s="8">
        <f t="shared" si="3"/>
        <v>392.44408390311742</v>
      </c>
      <c r="AE10" s="8">
        <f t="shared" si="3"/>
        <v>377.53117492277778</v>
      </c>
      <c r="AF10" s="8">
        <f t="shared" si="3"/>
        <v>393.70786516853934</v>
      </c>
      <c r="AG10" s="8">
        <f t="shared" si="3"/>
        <v>420.24071437815451</v>
      </c>
      <c r="AH10" s="8">
        <f t="shared" si="3"/>
        <v>384.90285855710931</v>
      </c>
      <c r="AI10" s="8">
        <f t="shared" si="3"/>
        <v>405.80010357327802</v>
      </c>
    </row>
    <row r="11" spans="1:35" s="3" customFormat="1" ht="24.95" customHeight="1">
      <c r="A11" s="56"/>
      <c r="B11" s="9" t="s">
        <v>44</v>
      </c>
      <c r="C11" s="8">
        <f>(C8-C16)/C5</f>
        <v>344.15113888604048</v>
      </c>
      <c r="D11" s="8">
        <f>(D8-D16)/D5</f>
        <v>350.28486132059987</v>
      </c>
      <c r="E11" s="8">
        <f>(E8-E16)/E5</f>
        <v>370.27713905361253</v>
      </c>
      <c r="F11" s="8">
        <f>(F8-F16)/F5</f>
        <v>372.625</v>
      </c>
      <c r="G11" s="8">
        <f>(G8-G16)/G5</f>
        <v>372.59231996074107</v>
      </c>
      <c r="H11" s="8">
        <f>(H8-H16)/H5</f>
        <v>386.53870123395239</v>
      </c>
      <c r="I11" s="8">
        <f>(I8-I16)/I5</f>
        <v>382.52890899949728</v>
      </c>
      <c r="J11" s="8">
        <f>(J8-J16)/J5</f>
        <v>369.75080187515425</v>
      </c>
      <c r="K11" s="8">
        <f>(K8-K16)/K5</f>
        <v>381.40628868531815</v>
      </c>
      <c r="L11" s="8">
        <f>(L8-L16)/L5</f>
        <v>382.51488095238096</v>
      </c>
      <c r="M11" s="8">
        <f>(M8-M16)/M5</f>
        <v>344.33701657458568</v>
      </c>
      <c r="N11" s="8">
        <f>(N8-N16)/N5</f>
        <v>352.40054869684502</v>
      </c>
      <c r="O11" s="8">
        <f>(O8-O16)/O5</f>
        <v>375.11671335200748</v>
      </c>
      <c r="P11" s="8">
        <f>(P8-P16)/P5</f>
        <v>384.16656277272165</v>
      </c>
      <c r="Q11" s="8">
        <f>(Q8-Q16)/Q5</f>
        <v>370.88989441930624</v>
      </c>
      <c r="R11" s="8">
        <f>(R8-R16)/R5</f>
        <v>374.76822851415682</v>
      </c>
      <c r="S11" s="8">
        <f>(S8-S16)/S5</f>
        <v>376.54336261289126</v>
      </c>
      <c r="T11" s="8">
        <f>(T8-T16)/T5</f>
        <v>376.5952143569292</v>
      </c>
      <c r="U11" s="8">
        <f>(U8-U16)/U5</f>
        <v>326.91218130311614</v>
      </c>
      <c r="V11" s="8">
        <f>(V8-V16)/V5</f>
        <v>327.84413777107738</v>
      </c>
      <c r="W11" s="8">
        <f>(W8-W16)/W5</f>
        <v>341.70172978027119</v>
      </c>
      <c r="X11" s="8">
        <f>(X8-X16)/X5</f>
        <v>300.63753332560566</v>
      </c>
      <c r="Y11" s="8">
        <f>(Y8-Y16)/Y5</f>
        <v>302.2752159630125</v>
      </c>
      <c r="Z11" s="8">
        <f>(Z8-Z16)/Z5</f>
        <v>327.56498806982296</v>
      </c>
      <c r="AA11" s="8">
        <f>(AA8-AA16)/AA5</f>
        <v>288.94277400581962</v>
      </c>
      <c r="AB11" s="8">
        <f>(AB8-AB16)/AB5</f>
        <v>330.66142119498397</v>
      </c>
      <c r="AC11" s="8">
        <f>(AC8-AC16)/AC5</f>
        <v>348.24161701133312</v>
      </c>
      <c r="AD11" s="8">
        <f>(AD8-AD16)/AD5</f>
        <v>333.06292733804611</v>
      </c>
      <c r="AE11" s="8">
        <f>(AE8-AE16)/AE5</f>
        <v>318.06429470312327</v>
      </c>
      <c r="AF11" s="8">
        <f>(AF8-AF16)/AF5</f>
        <v>335.84269662921349</v>
      </c>
      <c r="AG11" s="8">
        <f>(AG8-AG16)/AG5</f>
        <v>353.30658729131613</v>
      </c>
      <c r="AH11" s="8">
        <f>(AH8-AH16)/AH5</f>
        <v>324.2667986635318</v>
      </c>
      <c r="AI11" s="8">
        <f>(AI8-AI16)/AI5</f>
        <v>340.08285862247538</v>
      </c>
    </row>
    <row r="12" spans="1:35" s="3" customFormat="1" ht="24.95" customHeight="1">
      <c r="A12" s="56"/>
      <c r="B12" s="6" t="s">
        <v>45</v>
      </c>
      <c r="C12" s="8">
        <f>D12+'11月'!C12</f>
        <v>273570.83999999991</v>
      </c>
      <c r="D12" s="8">
        <f t="shared" ref="D12:D16" si="4">SUM(E12:AI12)</f>
        <v>23689.339999999993</v>
      </c>
      <c r="E12" s="7">
        <v>835.92</v>
      </c>
      <c r="F12" s="7">
        <v>760.48</v>
      </c>
      <c r="G12" s="7">
        <v>725.84</v>
      </c>
      <c r="H12" s="7">
        <v>738.26</v>
      </c>
      <c r="I12" s="7">
        <v>689.08</v>
      </c>
      <c r="J12" s="7">
        <v>670.42</v>
      </c>
      <c r="K12" s="7">
        <v>753.24</v>
      </c>
      <c r="L12" s="7">
        <v>631.82000000000005</v>
      </c>
      <c r="M12" s="7">
        <v>651.66</v>
      </c>
      <c r="N12" s="7">
        <v>618.41999999999996</v>
      </c>
      <c r="O12" s="7">
        <v>583.86</v>
      </c>
      <c r="P12" s="7">
        <v>639.64</v>
      </c>
      <c r="Q12" s="7">
        <v>662.52</v>
      </c>
      <c r="R12" s="7">
        <v>671.46</v>
      </c>
      <c r="S12" s="7">
        <v>643.84</v>
      </c>
      <c r="T12" s="7">
        <v>653.05999999999995</v>
      </c>
      <c r="U12" s="7">
        <v>957.52</v>
      </c>
      <c r="V12" s="7">
        <v>1102.3399999999999</v>
      </c>
      <c r="W12" s="7">
        <v>1091.3</v>
      </c>
      <c r="X12" s="7">
        <v>1029.52</v>
      </c>
      <c r="Y12" s="7">
        <v>782.68</v>
      </c>
      <c r="Z12" s="7">
        <v>876.7</v>
      </c>
      <c r="AA12" s="7">
        <v>803.2</v>
      </c>
      <c r="AB12" s="7">
        <v>902.1</v>
      </c>
      <c r="AC12" s="7">
        <v>951.68</v>
      </c>
      <c r="AD12" s="12">
        <v>836.62</v>
      </c>
      <c r="AE12" s="7">
        <v>871.36</v>
      </c>
      <c r="AF12" s="7">
        <v>800.32</v>
      </c>
      <c r="AG12" s="7">
        <v>572.44000000000005</v>
      </c>
      <c r="AH12" s="12">
        <v>497.78</v>
      </c>
      <c r="AI12" s="7">
        <v>684.26</v>
      </c>
    </row>
    <row r="13" spans="1:35" s="3" customFormat="1" ht="24.75" customHeight="1">
      <c r="A13" s="58" t="s">
        <v>46</v>
      </c>
      <c r="B13" s="6" t="s">
        <v>36</v>
      </c>
      <c r="C13" s="8">
        <f>D13+'11月'!C13</f>
        <v>319177</v>
      </c>
      <c r="D13" s="10">
        <f t="shared" si="4"/>
        <v>31006</v>
      </c>
      <c r="E13" s="7">
        <f>352+354+344</f>
        <v>1050</v>
      </c>
      <c r="F13" s="7">
        <f>344+340+373</f>
        <v>1057</v>
      </c>
      <c r="G13" s="7">
        <f>335+354+384</f>
        <v>1073</v>
      </c>
      <c r="H13" s="7">
        <f>340+362+343</f>
        <v>1045</v>
      </c>
      <c r="I13" s="7">
        <f>385+315+334</f>
        <v>1034</v>
      </c>
      <c r="J13" s="7">
        <f>363+323+332</f>
        <v>1018</v>
      </c>
      <c r="K13" s="7">
        <f>339+386+339</f>
        <v>1064</v>
      </c>
      <c r="L13" s="7">
        <f>364+375+331</f>
        <v>1070</v>
      </c>
      <c r="M13" s="20">
        <f>337+339+341</f>
        <v>1017</v>
      </c>
      <c r="N13" s="7">
        <f>336+358+379</f>
        <v>1073</v>
      </c>
      <c r="O13" s="7">
        <f>336+368+375</f>
        <v>1079</v>
      </c>
      <c r="P13" s="20">
        <f>345+356+326</f>
        <v>1027</v>
      </c>
      <c r="Q13" s="7">
        <f>373+317+335</f>
        <v>1025</v>
      </c>
      <c r="R13" s="7">
        <f>329+324+364</f>
        <v>1017</v>
      </c>
      <c r="S13" s="7">
        <f>353+378+349</f>
        <v>1080</v>
      </c>
      <c r="T13" s="7">
        <f>373+361+323</f>
        <v>1057</v>
      </c>
      <c r="U13" s="7">
        <f>343+336+317</f>
        <v>996</v>
      </c>
      <c r="V13" s="7">
        <f>348+312+350</f>
        <v>1010</v>
      </c>
      <c r="W13" s="7">
        <f>351+360+319</f>
        <v>1030</v>
      </c>
      <c r="X13" s="7">
        <f>337+346+245</f>
        <v>928</v>
      </c>
      <c r="Y13" s="7">
        <f>292+246+338</f>
        <v>876</v>
      </c>
      <c r="Z13" s="7">
        <f>316+302+316</f>
        <v>934</v>
      </c>
      <c r="AA13" s="7">
        <f>295+307+251</f>
        <v>853</v>
      </c>
      <c r="AB13" s="7">
        <f>274+308+302</f>
        <v>884</v>
      </c>
      <c r="AC13" s="7">
        <f>328+301+326</f>
        <v>955</v>
      </c>
      <c r="AD13" s="7">
        <f>320+328+309</f>
        <v>957</v>
      </c>
      <c r="AE13" s="7">
        <f>299+338+329</f>
        <v>966</v>
      </c>
      <c r="AF13" s="7">
        <f>332+344+334</f>
        <v>1010</v>
      </c>
      <c r="AG13" s="7">
        <f>360+297+320</f>
        <v>977</v>
      </c>
      <c r="AH13" s="7">
        <f>327+284+327</f>
        <v>938</v>
      </c>
      <c r="AI13" s="7">
        <f>288+324+294</f>
        <v>906</v>
      </c>
    </row>
    <row r="14" spans="1:35" s="3" customFormat="1" ht="25.5" customHeight="1">
      <c r="A14" s="59"/>
      <c r="B14" s="6" t="s">
        <v>37</v>
      </c>
      <c r="C14" s="8">
        <f>D14+'11月'!C14</f>
        <v>349935</v>
      </c>
      <c r="D14" s="10">
        <f t="shared" si="4"/>
        <v>33501</v>
      </c>
      <c r="E14" s="7">
        <f>394+371+366</f>
        <v>1131</v>
      </c>
      <c r="F14" s="7">
        <f>375+365+364</f>
        <v>1104</v>
      </c>
      <c r="G14" s="7">
        <f>360+389+361</f>
        <v>1110</v>
      </c>
      <c r="H14" s="7">
        <f>374+397+379</f>
        <v>1150</v>
      </c>
      <c r="I14" s="7">
        <f>381+367+384</f>
        <v>1132</v>
      </c>
      <c r="J14" s="7">
        <f>379+356+420</f>
        <v>1155</v>
      </c>
      <c r="K14" s="7">
        <f>390+387+389</f>
        <v>1166</v>
      </c>
      <c r="L14" s="7">
        <f>386+359+357</f>
        <v>1102</v>
      </c>
      <c r="M14" s="20">
        <f>365+371+378</f>
        <v>1114</v>
      </c>
      <c r="N14" s="7">
        <f>391+372+360</f>
        <v>1123</v>
      </c>
      <c r="O14" s="7">
        <f>381+411+377</f>
        <v>1169</v>
      </c>
      <c r="P14" s="20">
        <f>375+398+357</f>
        <v>1130</v>
      </c>
      <c r="Q14" s="7">
        <f>380+355+358</f>
        <v>1093</v>
      </c>
      <c r="R14" s="7">
        <f>380+356+371</f>
        <v>1107</v>
      </c>
      <c r="S14" s="7">
        <f>369+363+358</f>
        <v>1090</v>
      </c>
      <c r="T14" s="7">
        <f>359+361+342</f>
        <v>1062</v>
      </c>
      <c r="U14" s="7">
        <f>358+346+362</f>
        <v>1066</v>
      </c>
      <c r="V14" s="7">
        <f>363+348+332</f>
        <v>1043</v>
      </c>
      <c r="W14" s="7">
        <f>372+375+333</f>
        <v>1080</v>
      </c>
      <c r="X14" s="7">
        <f>351+352+269</f>
        <v>972</v>
      </c>
      <c r="Y14" s="7">
        <f>286+281+366</f>
        <v>933</v>
      </c>
      <c r="Z14" s="7">
        <f>315+308+351</f>
        <v>974</v>
      </c>
      <c r="AA14" s="7">
        <f>346+309+286</f>
        <v>941</v>
      </c>
      <c r="AB14" s="7">
        <f>338+352+344</f>
        <v>1034</v>
      </c>
      <c r="AC14" s="7">
        <f>394+376+393</f>
        <v>1163</v>
      </c>
      <c r="AD14" s="7">
        <f>361+368+354</f>
        <v>1083</v>
      </c>
      <c r="AE14" s="7">
        <f>369+374+349</f>
        <v>1092</v>
      </c>
      <c r="AF14" s="7">
        <f>367+379+357</f>
        <v>1103</v>
      </c>
      <c r="AG14" s="7">
        <f>347+352+333</f>
        <v>1032</v>
      </c>
      <c r="AH14" s="7">
        <f>333+359+354</f>
        <v>1046</v>
      </c>
      <c r="AI14" s="7">
        <f>358+328+315</f>
        <v>1001</v>
      </c>
    </row>
    <row r="15" spans="1:35" s="3" customFormat="1" ht="24" customHeight="1">
      <c r="A15" s="60"/>
      <c r="B15" s="7" t="s">
        <v>38</v>
      </c>
      <c r="C15" s="8">
        <f>D15+'11月'!C15</f>
        <v>669112</v>
      </c>
      <c r="D15" s="7">
        <f t="shared" si="4"/>
        <v>64507</v>
      </c>
      <c r="E15" s="7">
        <f>E13+E14</f>
        <v>2181</v>
      </c>
      <c r="F15" s="7">
        <f t="shared" ref="F15:AI15" si="5">F13+F14</f>
        <v>2161</v>
      </c>
      <c r="G15" s="7">
        <f t="shared" si="5"/>
        <v>2183</v>
      </c>
      <c r="H15" s="7">
        <f t="shared" si="5"/>
        <v>2195</v>
      </c>
      <c r="I15" s="7">
        <f t="shared" si="5"/>
        <v>2166</v>
      </c>
      <c r="J15" s="7">
        <f t="shared" si="5"/>
        <v>2173</v>
      </c>
      <c r="K15" s="7">
        <f t="shared" si="5"/>
        <v>2230</v>
      </c>
      <c r="L15" s="7">
        <f t="shared" si="5"/>
        <v>2172</v>
      </c>
      <c r="M15" s="7">
        <f t="shared" si="5"/>
        <v>2131</v>
      </c>
      <c r="N15" s="7">
        <f t="shared" si="5"/>
        <v>2196</v>
      </c>
      <c r="O15" s="7">
        <f t="shared" si="5"/>
        <v>2248</v>
      </c>
      <c r="P15" s="7">
        <f t="shared" si="5"/>
        <v>2157</v>
      </c>
      <c r="Q15" s="7">
        <f t="shared" si="5"/>
        <v>2118</v>
      </c>
      <c r="R15" s="7">
        <f t="shared" si="5"/>
        <v>2124</v>
      </c>
      <c r="S15" s="7">
        <f t="shared" si="5"/>
        <v>2170</v>
      </c>
      <c r="T15" s="7">
        <f t="shared" si="5"/>
        <v>2119</v>
      </c>
      <c r="U15" s="7">
        <f t="shared" si="5"/>
        <v>2062</v>
      </c>
      <c r="V15" s="7">
        <f t="shared" si="5"/>
        <v>2053</v>
      </c>
      <c r="W15" s="7">
        <f t="shared" si="5"/>
        <v>2110</v>
      </c>
      <c r="X15" s="7">
        <f t="shared" si="5"/>
        <v>1900</v>
      </c>
      <c r="Y15" s="7">
        <f t="shared" si="5"/>
        <v>1809</v>
      </c>
      <c r="Z15" s="7">
        <f t="shared" si="5"/>
        <v>1908</v>
      </c>
      <c r="AA15" s="7">
        <f t="shared" si="5"/>
        <v>1794</v>
      </c>
      <c r="AB15" s="7">
        <f t="shared" si="5"/>
        <v>1918</v>
      </c>
      <c r="AC15" s="7">
        <f t="shared" si="5"/>
        <v>2118</v>
      </c>
      <c r="AD15" s="7">
        <f t="shared" si="5"/>
        <v>2040</v>
      </c>
      <c r="AE15" s="7">
        <f t="shared" si="5"/>
        <v>2058</v>
      </c>
      <c r="AF15" s="7">
        <f t="shared" si="5"/>
        <v>2113</v>
      </c>
      <c r="AG15" s="7">
        <f t="shared" si="5"/>
        <v>2009</v>
      </c>
      <c r="AH15" s="7">
        <f t="shared" si="5"/>
        <v>1984</v>
      </c>
      <c r="AI15" s="7">
        <f t="shared" si="5"/>
        <v>1907</v>
      </c>
    </row>
    <row r="16" spans="1:35" s="3" customFormat="1" ht="24.75" customHeight="1">
      <c r="A16" s="56" t="s">
        <v>47</v>
      </c>
      <c r="B16" s="7" t="s">
        <v>38</v>
      </c>
      <c r="C16" s="8">
        <f>D16+'11月'!C16</f>
        <v>17518972</v>
      </c>
      <c r="D16" s="7">
        <f t="shared" si="4"/>
        <v>1555400</v>
      </c>
      <c r="E16" s="7">
        <v>45880</v>
      </c>
      <c r="F16" s="7">
        <v>47740</v>
      </c>
      <c r="G16" s="7">
        <v>49340</v>
      </c>
      <c r="H16" s="7">
        <v>50600</v>
      </c>
      <c r="I16" s="7">
        <v>50860</v>
      </c>
      <c r="J16" s="7">
        <v>50680</v>
      </c>
      <c r="K16" s="7">
        <v>50700</v>
      </c>
      <c r="L16" s="7">
        <v>48660</v>
      </c>
      <c r="M16" s="7">
        <v>50280</v>
      </c>
      <c r="N16" s="7">
        <v>49800</v>
      </c>
      <c r="O16" s="7">
        <v>49880</v>
      </c>
      <c r="P16" s="7">
        <v>50180</v>
      </c>
      <c r="Q16" s="7">
        <v>51960</v>
      </c>
      <c r="R16" s="7">
        <v>51980</v>
      </c>
      <c r="S16" s="7">
        <v>51320</v>
      </c>
      <c r="T16" s="7">
        <v>50860</v>
      </c>
      <c r="U16" s="7">
        <v>50880</v>
      </c>
      <c r="V16" s="7">
        <v>51140</v>
      </c>
      <c r="W16" s="7">
        <v>48440</v>
      </c>
      <c r="X16" s="7">
        <v>49520</v>
      </c>
      <c r="Y16" s="7">
        <v>51080</v>
      </c>
      <c r="Z16" s="7">
        <v>48280</v>
      </c>
      <c r="AA16" s="7">
        <v>48000</v>
      </c>
      <c r="AB16" s="7">
        <v>50720</v>
      </c>
      <c r="AC16" s="7">
        <v>50420</v>
      </c>
      <c r="AD16" s="7">
        <v>51240</v>
      </c>
      <c r="AE16" s="7">
        <v>51980</v>
      </c>
      <c r="AF16" s="7">
        <v>51500</v>
      </c>
      <c r="AG16" s="7">
        <v>51720</v>
      </c>
      <c r="AH16" s="7">
        <v>49000</v>
      </c>
      <c r="AI16" s="7">
        <v>50760</v>
      </c>
    </row>
    <row r="17" spans="1:35" s="3" customFormat="1" ht="24.95" customHeight="1">
      <c r="A17" s="56"/>
      <c r="B17" s="6" t="s">
        <v>48</v>
      </c>
      <c r="C17" s="11">
        <f>SUM(C16/C8)</f>
        <v>0.16251297652282529</v>
      </c>
      <c r="D17" s="11">
        <f>SUM(D16/D8)</f>
        <v>0.14785620855387235</v>
      </c>
      <c r="E17" s="11">
        <f>SUM(E16/E8)</f>
        <v>0.13040018190086403</v>
      </c>
      <c r="F17" s="11">
        <f>SUM(F16/F8)</f>
        <v>0.13804071246819338</v>
      </c>
      <c r="G17" s="11">
        <f>SUM(G16/G8)</f>
        <v>0.13975753455699072</v>
      </c>
      <c r="H17" s="11">
        <f>SUM(H16/H8)</f>
        <v>0.14027500554446662</v>
      </c>
      <c r="I17" s="11">
        <f>SUM(I16/I8)</f>
        <v>0.14318693693693693</v>
      </c>
      <c r="J17" s="11">
        <f>SUM(J16/J8)</f>
        <v>0.14463470319634703</v>
      </c>
      <c r="K17" s="11">
        <f>SUM(K16/K8)</f>
        <v>0.14130434782608695</v>
      </c>
      <c r="L17" s="11">
        <f>SUM(L16/L8)</f>
        <v>0.13625672043010753</v>
      </c>
      <c r="M17" s="11">
        <f>SUM(M16/M8)</f>
        <v>0.14388736263736263</v>
      </c>
      <c r="N17" s="11">
        <f>SUM(N16/N8)</f>
        <v>0.1390750670241287</v>
      </c>
      <c r="O17" s="11">
        <f>SUM(O16/O8)</f>
        <v>0.13434604611075199</v>
      </c>
      <c r="P17" s="11">
        <f>SUM(P16/P8)</f>
        <v>0.14004242018307658</v>
      </c>
      <c r="Q17" s="11">
        <f>SUM(Q16/Q8)</f>
        <v>0.14972337482710926</v>
      </c>
      <c r="R17" s="11">
        <f>SUM(R16/R8)</f>
        <v>0.14804055593529278</v>
      </c>
      <c r="S17" s="11">
        <f>SUM(S16/S8)</f>
        <v>0.14428699955015745</v>
      </c>
      <c r="T17" s="11">
        <f>SUM(T16/T8)</f>
        <v>0.14406299569453887</v>
      </c>
      <c r="U17" s="11">
        <f>SUM(U16/U8)</f>
        <v>0.15519765739385066</v>
      </c>
      <c r="V17" s="11">
        <f>SUM(V16/V8)</f>
        <v>0.15318715552360412</v>
      </c>
      <c r="W17" s="11">
        <f>SUM(W16/W8)</f>
        <v>0.14213615023474177</v>
      </c>
      <c r="X17" s="11">
        <f>SUM(X16/X8)</f>
        <v>0.16032116032116031</v>
      </c>
      <c r="Y17" s="11">
        <f>SUM(Y16/Y8)</f>
        <v>0.17053952991452992</v>
      </c>
      <c r="Z17" s="11">
        <f>SUM(Z16/Z8)</f>
        <v>0.15618530020703933</v>
      </c>
      <c r="AA17" s="11">
        <f>SUM(AA16/AA8)</f>
        <v>0.16764459346186086</v>
      </c>
      <c r="AB17" s="11">
        <f>SUM(AB16/AB8)</f>
        <v>0.15865865865865866</v>
      </c>
      <c r="AC17" s="11">
        <f>SUM(AC16/AC8)</f>
        <v>0.14468549127640037</v>
      </c>
      <c r="AD17" s="11">
        <f>SUM(AD16/AD8)</f>
        <v>0.1513111268603827</v>
      </c>
      <c r="AE17" s="11">
        <f>SUM(AE16/AE8)</f>
        <v>0.15751515151515152</v>
      </c>
      <c r="AF17" s="11">
        <f>SUM(AF16/AF8)</f>
        <v>0.14697488584474885</v>
      </c>
      <c r="AG17" s="11">
        <f>SUM(AG16/AG8)</f>
        <v>0.15927568366592756</v>
      </c>
      <c r="AH17" s="11">
        <f>SUM(AH16/AH8)</f>
        <v>0.15753600823045266</v>
      </c>
      <c r="AI17" s="11">
        <f>SUM(AI16/AI8)</f>
        <v>0.16194486983154671</v>
      </c>
    </row>
    <row r="18" spans="1:35" s="3" customFormat="1" ht="24.95" customHeight="1">
      <c r="A18" s="13"/>
      <c r="B18" s="13" t="s">
        <v>49</v>
      </c>
      <c r="C18" s="7">
        <f>D18+'11月'!C18</f>
        <v>184</v>
      </c>
      <c r="D18" s="7">
        <f>COUNT(E18:AI18)</f>
        <v>31</v>
      </c>
      <c r="E18" s="14">
        <v>5100</v>
      </c>
      <c r="F18" s="14">
        <v>5000</v>
      </c>
      <c r="G18" s="14">
        <v>4900</v>
      </c>
      <c r="H18" s="14">
        <v>4700</v>
      </c>
      <c r="I18" s="14">
        <v>4600</v>
      </c>
      <c r="J18" s="7">
        <v>5000</v>
      </c>
      <c r="K18" s="14">
        <v>6000</v>
      </c>
      <c r="L18" s="14">
        <v>5800</v>
      </c>
      <c r="M18" s="7">
        <v>5800</v>
      </c>
      <c r="N18" s="7">
        <v>5700</v>
      </c>
      <c r="O18" s="7">
        <v>5700</v>
      </c>
      <c r="P18" s="7">
        <v>5700</v>
      </c>
      <c r="Q18" s="7">
        <v>5700</v>
      </c>
      <c r="R18" s="7">
        <v>5700</v>
      </c>
      <c r="S18" s="7">
        <v>5700</v>
      </c>
      <c r="T18" s="7">
        <v>5500</v>
      </c>
      <c r="U18" s="7">
        <v>5500</v>
      </c>
      <c r="V18" s="7">
        <v>5700</v>
      </c>
      <c r="W18" s="7">
        <v>5900</v>
      </c>
      <c r="X18" s="7">
        <v>6000</v>
      </c>
      <c r="Y18" s="7">
        <v>5900</v>
      </c>
      <c r="Z18" s="7">
        <v>5900</v>
      </c>
      <c r="AA18" s="7">
        <v>5900</v>
      </c>
      <c r="AB18" s="7">
        <v>5900</v>
      </c>
      <c r="AC18" s="7">
        <v>5900</v>
      </c>
      <c r="AD18" s="7">
        <v>6000</v>
      </c>
      <c r="AE18" s="7">
        <v>6000</v>
      </c>
      <c r="AF18" s="7">
        <v>5900</v>
      </c>
      <c r="AG18" s="7">
        <v>5700</v>
      </c>
      <c r="AH18" s="7">
        <v>5300</v>
      </c>
      <c r="AI18" s="7">
        <v>5200</v>
      </c>
    </row>
    <row r="19" spans="1:35" s="3" customFormat="1" ht="24.95" customHeight="1">
      <c r="A19" s="61" t="s">
        <v>50</v>
      </c>
      <c r="B19" s="13" t="s">
        <v>51</v>
      </c>
      <c r="C19" s="7">
        <f>D19+'11月'!C19</f>
        <v>7352.22</v>
      </c>
      <c r="D19" s="7">
        <f t="shared" ref="D19:D28" si="6">SUM(E19:AI19)</f>
        <v>0</v>
      </c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28"/>
      <c r="T19" s="28"/>
      <c r="U19" s="28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</row>
    <row r="20" spans="1:35" s="3" customFormat="1" ht="24.95" customHeight="1">
      <c r="A20" s="62"/>
      <c r="B20" s="13" t="s">
        <v>75</v>
      </c>
      <c r="C20" s="7">
        <f>D20+'11月'!C20</f>
        <v>103294.39999999999</v>
      </c>
      <c r="D20" s="7">
        <f t="shared" si="6"/>
        <v>8344.26</v>
      </c>
      <c r="E20" s="15">
        <v>317.38</v>
      </c>
      <c r="F20" s="15">
        <v>300.45999999999998</v>
      </c>
      <c r="G20" s="15">
        <v>294.88</v>
      </c>
      <c r="H20" s="15">
        <v>267.58</v>
      </c>
      <c r="I20" s="15">
        <v>253.44</v>
      </c>
      <c r="J20" s="15">
        <v>289.94</v>
      </c>
      <c r="K20" s="15">
        <v>304.76</v>
      </c>
      <c r="L20" s="15">
        <v>288.27999999999997</v>
      </c>
      <c r="M20" s="15">
        <v>297.8</v>
      </c>
      <c r="N20" s="15">
        <v>248.68</v>
      </c>
      <c r="O20" s="15">
        <v>277.52</v>
      </c>
      <c r="P20" s="15">
        <v>286.2</v>
      </c>
      <c r="Q20" s="3">
        <v>322.45999999999998</v>
      </c>
      <c r="R20" s="15">
        <v>296.38</v>
      </c>
      <c r="S20" s="28">
        <v>267.62</v>
      </c>
      <c r="T20" s="28">
        <v>267.36</v>
      </c>
      <c r="U20" s="28">
        <v>287.60000000000002</v>
      </c>
      <c r="V20" s="15">
        <v>314.06</v>
      </c>
      <c r="W20" s="15">
        <v>290.94</v>
      </c>
      <c r="X20" s="15">
        <v>299.22000000000003</v>
      </c>
      <c r="Y20" s="15">
        <v>231.6</v>
      </c>
      <c r="Z20" s="15">
        <v>324.24</v>
      </c>
      <c r="AA20" s="15">
        <v>282.74</v>
      </c>
      <c r="AB20" s="15">
        <v>308.52</v>
      </c>
      <c r="AC20" s="15">
        <v>289.16000000000003</v>
      </c>
      <c r="AD20" s="15">
        <v>282.64</v>
      </c>
      <c r="AE20" s="15">
        <v>302.06</v>
      </c>
      <c r="AF20" s="15">
        <v>175.62</v>
      </c>
      <c r="AG20" s="15">
        <v>116.32</v>
      </c>
      <c r="AH20" s="15">
        <v>122.44</v>
      </c>
      <c r="AI20" s="15">
        <v>136.36000000000001</v>
      </c>
    </row>
    <row r="21" spans="1:35" s="3" customFormat="1" ht="24.95" customHeight="1">
      <c r="A21" s="62"/>
      <c r="B21" s="13" t="s">
        <v>53</v>
      </c>
      <c r="C21" s="7">
        <f>D21+'11月'!C21</f>
        <v>2381.58</v>
      </c>
      <c r="D21" s="7">
        <f t="shared" si="6"/>
        <v>0</v>
      </c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7"/>
      <c r="R21" s="15"/>
      <c r="S21" s="28"/>
      <c r="T21" s="28"/>
      <c r="U21" s="28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</row>
    <row r="22" spans="1:35" s="3" customFormat="1" ht="24.95" customHeight="1">
      <c r="A22" s="62"/>
      <c r="B22" s="13" t="s">
        <v>54</v>
      </c>
      <c r="C22" s="7">
        <f>D22+'11月'!C22</f>
        <v>5504.36</v>
      </c>
      <c r="D22" s="7">
        <f t="shared" si="6"/>
        <v>2417.92</v>
      </c>
      <c r="E22" s="15">
        <v>42.78</v>
      </c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7"/>
      <c r="R22" s="15"/>
      <c r="S22" s="28"/>
      <c r="T22" s="28"/>
      <c r="U22" s="28">
        <v>149.62</v>
      </c>
      <c r="V22" s="15">
        <v>170</v>
      </c>
      <c r="W22" s="15">
        <v>167.78</v>
      </c>
      <c r="X22" s="15">
        <v>150.36000000000001</v>
      </c>
      <c r="Y22" s="15">
        <v>165.48</v>
      </c>
      <c r="Z22" s="15">
        <v>145.74</v>
      </c>
      <c r="AA22" s="15">
        <v>181.76</v>
      </c>
      <c r="AB22" s="15">
        <v>167.62</v>
      </c>
      <c r="AC22" s="15">
        <v>172.12</v>
      </c>
      <c r="AD22" s="15">
        <v>162.74</v>
      </c>
      <c r="AE22" s="15">
        <v>159.72</v>
      </c>
      <c r="AF22" s="15">
        <v>158.97999999999999</v>
      </c>
      <c r="AG22" s="15">
        <v>130.36000000000001</v>
      </c>
      <c r="AH22" s="15">
        <v>136.91999999999999</v>
      </c>
      <c r="AI22" s="15">
        <v>155.94</v>
      </c>
    </row>
    <row r="23" spans="1:35" s="3" customFormat="1" ht="22.15" customHeight="1">
      <c r="A23" s="62"/>
      <c r="B23" s="13" t="s">
        <v>55</v>
      </c>
      <c r="C23" s="7">
        <f>D23+'11月'!C23</f>
        <v>0</v>
      </c>
      <c r="D23" s="7">
        <f t="shared" si="6"/>
        <v>0</v>
      </c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7"/>
      <c r="R23" s="15"/>
      <c r="S23" s="28"/>
      <c r="T23" s="28"/>
      <c r="U23" s="28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</row>
    <row r="24" spans="1:35" s="3" customFormat="1" ht="22.15" customHeight="1">
      <c r="A24" s="62"/>
      <c r="B24" s="13" t="s">
        <v>56</v>
      </c>
      <c r="C24" s="7">
        <f>D24+'11月'!C24</f>
        <v>13213.279999999999</v>
      </c>
      <c r="D24" s="7">
        <f t="shared" si="6"/>
        <v>90.9</v>
      </c>
      <c r="E24" s="15">
        <v>90.9</v>
      </c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7"/>
      <c r="R24" s="15"/>
      <c r="S24" s="28"/>
      <c r="T24" s="28"/>
      <c r="U24" s="28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</row>
    <row r="25" spans="1:35" s="3" customFormat="1" ht="21.75" customHeight="1">
      <c r="A25" s="62"/>
      <c r="B25" s="13" t="s">
        <v>57</v>
      </c>
      <c r="C25" s="7">
        <f>D25+'11月'!C25</f>
        <v>114457.96</v>
      </c>
      <c r="D25" s="7">
        <f t="shared" si="6"/>
        <v>9728.2000000000007</v>
      </c>
      <c r="E25" s="15">
        <v>318.86</v>
      </c>
      <c r="F25" s="15">
        <v>394.68</v>
      </c>
      <c r="G25" s="15">
        <v>352.7</v>
      </c>
      <c r="H25" s="15">
        <v>410.1</v>
      </c>
      <c r="I25" s="15">
        <v>347.36</v>
      </c>
      <c r="J25" s="15">
        <v>304.24</v>
      </c>
      <c r="K25" s="15">
        <v>358.96</v>
      </c>
      <c r="L25" s="15">
        <v>276.48</v>
      </c>
      <c r="M25" s="15">
        <v>274.12</v>
      </c>
      <c r="N25" s="15">
        <v>301.12</v>
      </c>
      <c r="O25" s="15">
        <v>229.76</v>
      </c>
      <c r="P25" s="15">
        <v>286.95999999999998</v>
      </c>
      <c r="Q25" s="3">
        <v>259.16000000000003</v>
      </c>
      <c r="R25" s="15">
        <v>303.22000000000003</v>
      </c>
      <c r="S25" s="28">
        <v>302.77999999999997</v>
      </c>
      <c r="T25" s="28">
        <v>324.14</v>
      </c>
      <c r="U25" s="28">
        <v>311.72000000000003</v>
      </c>
      <c r="V25" s="15">
        <v>334.2</v>
      </c>
      <c r="W25" s="15">
        <v>341.38</v>
      </c>
      <c r="X25" s="15">
        <v>286.22000000000003</v>
      </c>
      <c r="Y25" s="15">
        <v>282.82</v>
      </c>
      <c r="Z25" s="15">
        <v>327.82</v>
      </c>
      <c r="AA25" s="15">
        <v>252.9</v>
      </c>
      <c r="AB25" s="15">
        <v>352.48</v>
      </c>
      <c r="AC25" s="15">
        <v>410.54</v>
      </c>
      <c r="AD25" s="15">
        <v>320.33999999999997</v>
      </c>
      <c r="AE25" s="15">
        <v>340.02</v>
      </c>
      <c r="AF25" s="15">
        <v>393.94</v>
      </c>
      <c r="AG25" s="15">
        <v>250.26</v>
      </c>
      <c r="AH25" s="15">
        <v>172.5</v>
      </c>
      <c r="AI25" s="15">
        <v>306.42</v>
      </c>
    </row>
    <row r="26" spans="1:35" s="3" customFormat="1" ht="18" customHeight="1">
      <c r="A26" s="62"/>
      <c r="B26" s="13" t="s">
        <v>58</v>
      </c>
      <c r="C26" s="7">
        <f>D26+'11月'!C26</f>
        <v>26552.219999999998</v>
      </c>
      <c r="D26" s="7">
        <f t="shared" si="6"/>
        <v>2293.2400000000002</v>
      </c>
      <c r="E26" s="15">
        <v>66</v>
      </c>
      <c r="F26" s="15">
        <v>65.34</v>
      </c>
      <c r="G26" s="15">
        <v>78.260000000000005</v>
      </c>
      <c r="H26" s="15">
        <v>60.58</v>
      </c>
      <c r="I26" s="15">
        <v>88.28</v>
      </c>
      <c r="J26" s="15">
        <v>76.239999999999995</v>
      </c>
      <c r="K26" s="15">
        <v>89.52</v>
      </c>
      <c r="L26" s="15">
        <v>67.06</v>
      </c>
      <c r="M26" s="15">
        <v>79.739999999999995</v>
      </c>
      <c r="N26" s="15">
        <v>68.62</v>
      </c>
      <c r="O26" s="15">
        <v>76.58</v>
      </c>
      <c r="P26" s="15">
        <v>66.48</v>
      </c>
      <c r="Q26" s="3">
        <v>80.900000000000006</v>
      </c>
      <c r="R26" s="15">
        <v>71.86</v>
      </c>
      <c r="S26" s="15">
        <v>73.44</v>
      </c>
      <c r="T26" s="28">
        <v>61.56</v>
      </c>
      <c r="U26" s="28">
        <v>68.7</v>
      </c>
      <c r="V26" s="15">
        <v>74.56</v>
      </c>
      <c r="W26" s="15">
        <v>79.48</v>
      </c>
      <c r="X26" s="15">
        <v>69.58</v>
      </c>
      <c r="Y26" s="15">
        <v>73.22</v>
      </c>
      <c r="Z26" s="15">
        <v>78.900000000000006</v>
      </c>
      <c r="AA26" s="15">
        <v>85.8</v>
      </c>
      <c r="AB26" s="15">
        <v>73.48</v>
      </c>
      <c r="AC26" s="15">
        <v>79.86</v>
      </c>
      <c r="AD26" s="15">
        <v>70.900000000000006</v>
      </c>
      <c r="AE26" s="15">
        <v>69.56</v>
      </c>
      <c r="AF26" s="15">
        <v>71.78</v>
      </c>
      <c r="AG26" s="15">
        <v>75.5</v>
      </c>
      <c r="AH26" s="15">
        <v>65.92</v>
      </c>
      <c r="AI26" s="15">
        <v>85.54</v>
      </c>
    </row>
    <row r="27" spans="1:35" s="3" customFormat="1" ht="18" customHeight="1">
      <c r="A27" s="62"/>
      <c r="B27" s="16" t="s">
        <v>59</v>
      </c>
      <c r="C27" s="7">
        <f>D27+'11月'!C27</f>
        <v>0</v>
      </c>
      <c r="D27" s="7">
        <f t="shared" si="6"/>
        <v>0</v>
      </c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28"/>
      <c r="U27" s="28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</row>
    <row r="28" spans="1:35" s="3" customFormat="1" ht="18" customHeight="1">
      <c r="A28" s="62"/>
      <c r="B28" s="16" t="s">
        <v>74</v>
      </c>
      <c r="C28" s="7">
        <f>D28+'11月'!C28</f>
        <v>814.81999999999994</v>
      </c>
      <c r="D28" s="7">
        <f t="shared" si="6"/>
        <v>814.81999999999994</v>
      </c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28"/>
      <c r="U28" s="28">
        <v>139.88</v>
      </c>
      <c r="V28" s="15">
        <v>209.52</v>
      </c>
      <c r="W28" s="15">
        <v>211.72</v>
      </c>
      <c r="X28" s="15">
        <v>224.14</v>
      </c>
      <c r="Y28" s="15">
        <v>29.56</v>
      </c>
      <c r="Z28" s="15"/>
      <c r="AA28" s="15"/>
      <c r="AB28" s="15"/>
      <c r="AC28" s="15"/>
      <c r="AD28" s="15"/>
      <c r="AE28" s="15"/>
      <c r="AF28" s="15"/>
      <c r="AG28" s="15"/>
      <c r="AH28" s="15"/>
      <c r="AI28" s="15"/>
    </row>
    <row r="29" spans="1:35" s="3" customFormat="1" ht="18" hidden="1" customHeight="1">
      <c r="A29" s="63"/>
      <c r="B29" s="16"/>
      <c r="C29" s="7">
        <f>D29+'11月'!C29</f>
        <v>0</v>
      </c>
      <c r="D29" s="7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</row>
    <row r="30" spans="1:35" s="3" customFormat="1" ht="26.1" customHeight="1">
      <c r="A30" s="12"/>
      <c r="B30" s="12" t="s">
        <v>61</v>
      </c>
      <c r="C30" s="7">
        <f>D30+'11月'!C30</f>
        <v>273570.83999999997</v>
      </c>
      <c r="D30" s="7">
        <f>SUM(D19:D29)</f>
        <v>23689.34</v>
      </c>
      <c r="E30" s="7">
        <f t="shared" ref="E30:AI30" si="7">SUM(E19:E29)</f>
        <v>835.92</v>
      </c>
      <c r="F30" s="7">
        <f t="shared" si="7"/>
        <v>760.48</v>
      </c>
      <c r="G30" s="7">
        <f t="shared" si="7"/>
        <v>725.83999999999992</v>
      </c>
      <c r="H30" s="7">
        <f t="shared" si="7"/>
        <v>738.2600000000001</v>
      </c>
      <c r="I30" s="7">
        <f t="shared" si="7"/>
        <v>689.07999999999993</v>
      </c>
      <c r="J30" s="7">
        <f t="shared" si="7"/>
        <v>670.42000000000007</v>
      </c>
      <c r="K30" s="7">
        <f t="shared" si="7"/>
        <v>753.24</v>
      </c>
      <c r="L30" s="7">
        <f t="shared" si="7"/>
        <v>631.81999999999994</v>
      </c>
      <c r="M30" s="7">
        <f t="shared" si="7"/>
        <v>651.66000000000008</v>
      </c>
      <c r="N30" s="7">
        <f t="shared" si="7"/>
        <v>618.41999999999996</v>
      </c>
      <c r="O30" s="7">
        <f t="shared" si="7"/>
        <v>583.86</v>
      </c>
      <c r="P30" s="7">
        <f t="shared" si="7"/>
        <v>639.64</v>
      </c>
      <c r="Q30" s="7">
        <f t="shared" si="7"/>
        <v>662.52</v>
      </c>
      <c r="R30" s="7">
        <f t="shared" si="7"/>
        <v>671.46</v>
      </c>
      <c r="S30" s="7">
        <f t="shared" si="7"/>
        <v>643.83999999999992</v>
      </c>
      <c r="T30" s="7">
        <f t="shared" si="7"/>
        <v>653.05999999999995</v>
      </c>
      <c r="U30" s="7">
        <f t="shared" si="7"/>
        <v>957.5200000000001</v>
      </c>
      <c r="V30" s="7">
        <f t="shared" si="7"/>
        <v>1102.3399999999999</v>
      </c>
      <c r="W30" s="7">
        <f t="shared" si="7"/>
        <v>1091.3</v>
      </c>
      <c r="X30" s="7">
        <f t="shared" si="7"/>
        <v>1029.52</v>
      </c>
      <c r="Y30" s="7">
        <f t="shared" si="7"/>
        <v>782.68</v>
      </c>
      <c r="Z30" s="7">
        <f t="shared" si="7"/>
        <v>876.69999999999993</v>
      </c>
      <c r="AA30" s="7">
        <f t="shared" si="7"/>
        <v>803.19999999999993</v>
      </c>
      <c r="AB30" s="7">
        <f t="shared" si="7"/>
        <v>902.1</v>
      </c>
      <c r="AC30" s="7">
        <f t="shared" si="7"/>
        <v>951.68000000000006</v>
      </c>
      <c r="AD30" s="7">
        <f t="shared" si="7"/>
        <v>836.62</v>
      </c>
      <c r="AE30" s="7">
        <f t="shared" si="7"/>
        <v>871.3599999999999</v>
      </c>
      <c r="AF30" s="7">
        <f t="shared" si="7"/>
        <v>800.31999999999994</v>
      </c>
      <c r="AG30" s="7">
        <f t="shared" si="7"/>
        <v>572.44000000000005</v>
      </c>
      <c r="AH30" s="7">
        <f t="shared" si="7"/>
        <v>497.78000000000003</v>
      </c>
      <c r="AI30" s="7">
        <f t="shared" si="7"/>
        <v>684.26</v>
      </c>
    </row>
    <row r="31" spans="1:35" s="3" customFormat="1" ht="24.95" customHeight="1">
      <c r="A31" s="57" t="s">
        <v>62</v>
      </c>
      <c r="B31" s="7" t="s">
        <v>63</v>
      </c>
      <c r="C31" s="7">
        <f>D31+'11月'!C31</f>
        <v>50522.44</v>
      </c>
      <c r="D31" s="7">
        <f t="shared" ref="D31:D37" si="8">SUM(E31:AI31)</f>
        <v>5465.9000000000005</v>
      </c>
      <c r="E31" s="17">
        <v>47.58</v>
      </c>
      <c r="F31" s="17">
        <v>216.3</v>
      </c>
      <c r="G31" s="17">
        <v>206.54</v>
      </c>
      <c r="H31" s="18">
        <v>205.36</v>
      </c>
      <c r="I31" s="17">
        <v>210.84</v>
      </c>
      <c r="J31" s="17">
        <v>140.36000000000001</v>
      </c>
      <c r="K31" s="17">
        <v>212.16</v>
      </c>
      <c r="L31" s="17">
        <v>221.16</v>
      </c>
      <c r="M31" s="17">
        <v>213.96</v>
      </c>
      <c r="N31" s="17">
        <v>65.72</v>
      </c>
      <c r="O31" s="7">
        <v>257.26</v>
      </c>
      <c r="P31" s="27">
        <v>155.76</v>
      </c>
      <c r="Q31" s="3">
        <v>176.2</v>
      </c>
      <c r="R31" s="7">
        <v>124.46</v>
      </c>
      <c r="S31" s="7">
        <v>180.02</v>
      </c>
      <c r="T31" s="7">
        <v>187.92</v>
      </c>
      <c r="U31" s="29">
        <v>185.56</v>
      </c>
      <c r="V31" s="7">
        <v>185.32</v>
      </c>
      <c r="W31" s="7">
        <v>203.92</v>
      </c>
      <c r="X31" s="7">
        <v>135.88</v>
      </c>
      <c r="Y31" s="7">
        <v>142.62</v>
      </c>
      <c r="Z31" s="7">
        <v>21.18</v>
      </c>
      <c r="AA31" s="7">
        <v>237.2</v>
      </c>
      <c r="AB31" s="29">
        <v>142.88</v>
      </c>
      <c r="AC31" s="29">
        <v>152.13999999999999</v>
      </c>
      <c r="AD31" s="29">
        <v>157.9</v>
      </c>
      <c r="AE31" s="29">
        <v>231.3</v>
      </c>
      <c r="AF31" s="29">
        <v>208.38</v>
      </c>
      <c r="AG31" s="29">
        <v>221</v>
      </c>
      <c r="AH31" s="29">
        <v>195.26</v>
      </c>
      <c r="AI31" s="7">
        <v>223.76</v>
      </c>
    </row>
    <row r="32" spans="1:35" s="3" customFormat="1" ht="24.95" customHeight="1">
      <c r="A32" s="57"/>
      <c r="B32" s="7" t="s">
        <v>64</v>
      </c>
      <c r="C32" s="7">
        <f>D32+'11月'!C32</f>
        <v>6603.0599999999995</v>
      </c>
      <c r="D32" s="7">
        <f t="shared" si="8"/>
        <v>682.16</v>
      </c>
      <c r="E32" s="17">
        <v>24.6</v>
      </c>
      <c r="F32" s="17">
        <v>25.42</v>
      </c>
      <c r="G32" s="17">
        <v>14.98</v>
      </c>
      <c r="H32" s="19">
        <v>27.18</v>
      </c>
      <c r="I32" s="17">
        <v>10.54</v>
      </c>
      <c r="J32" s="17">
        <v>30.5</v>
      </c>
      <c r="K32" s="17">
        <v>27.26</v>
      </c>
      <c r="L32" s="17">
        <v>20.86</v>
      </c>
      <c r="M32" s="17">
        <v>18.920000000000002</v>
      </c>
      <c r="N32" s="17">
        <v>18.899999999999999</v>
      </c>
      <c r="O32" s="7">
        <v>13.04</v>
      </c>
      <c r="P32" s="27">
        <v>11.28</v>
      </c>
      <c r="Q32" s="3">
        <v>15.02</v>
      </c>
      <c r="R32" s="7">
        <v>20.34</v>
      </c>
      <c r="S32" s="7">
        <v>14.58</v>
      </c>
      <c r="T32" s="7">
        <v>23</v>
      </c>
      <c r="U32" s="7">
        <v>0</v>
      </c>
      <c r="V32" s="7">
        <v>43.38</v>
      </c>
      <c r="W32" s="7">
        <v>13.08</v>
      </c>
      <c r="X32" s="7">
        <v>26.72</v>
      </c>
      <c r="Y32" s="7">
        <v>0</v>
      </c>
      <c r="Z32" s="7">
        <v>46.44</v>
      </c>
      <c r="AA32" s="7">
        <v>21.36</v>
      </c>
      <c r="AB32" s="20">
        <v>21.58</v>
      </c>
      <c r="AC32" s="20">
        <v>21.92</v>
      </c>
      <c r="AD32" s="20">
        <v>11.54</v>
      </c>
      <c r="AE32" s="20">
        <v>23.76</v>
      </c>
      <c r="AF32" s="20">
        <v>0</v>
      </c>
      <c r="AG32" s="20">
        <v>60.52</v>
      </c>
      <c r="AH32" s="20">
        <v>57.6</v>
      </c>
      <c r="AI32" s="7">
        <v>17.84</v>
      </c>
    </row>
    <row r="33" spans="1:35" s="3" customFormat="1" ht="24.95" customHeight="1">
      <c r="A33" s="57"/>
      <c r="B33" s="6" t="s">
        <v>65</v>
      </c>
      <c r="C33" s="7">
        <f>D33+'11月'!C33</f>
        <v>20413</v>
      </c>
      <c r="D33" s="7">
        <f t="shared" si="8"/>
        <v>682</v>
      </c>
      <c r="E33" s="7">
        <v>37</v>
      </c>
      <c r="F33" s="7">
        <v>0</v>
      </c>
      <c r="G33" s="7">
        <v>0</v>
      </c>
      <c r="H33" s="7">
        <v>67</v>
      </c>
      <c r="I33" s="7">
        <v>0</v>
      </c>
      <c r="J33" s="7">
        <v>0</v>
      </c>
      <c r="K33" s="7">
        <v>0</v>
      </c>
      <c r="L33" s="7">
        <v>12</v>
      </c>
      <c r="M33" s="7">
        <v>0</v>
      </c>
      <c r="N33" s="7">
        <v>7</v>
      </c>
      <c r="O33" s="7">
        <v>0</v>
      </c>
      <c r="P33" s="7">
        <v>15</v>
      </c>
      <c r="Q33" s="7">
        <v>48</v>
      </c>
      <c r="R33" s="7">
        <v>37</v>
      </c>
      <c r="S33" s="7">
        <v>18</v>
      </c>
      <c r="T33" s="7">
        <v>26</v>
      </c>
      <c r="U33" s="7">
        <v>29</v>
      </c>
      <c r="V33" s="7">
        <v>40</v>
      </c>
      <c r="W33" s="7">
        <v>27</v>
      </c>
      <c r="X33" s="7">
        <v>13</v>
      </c>
      <c r="Y33" s="7">
        <v>34</v>
      </c>
      <c r="Z33" s="7">
        <v>26</v>
      </c>
      <c r="AA33" s="7">
        <v>35</v>
      </c>
      <c r="AB33" s="7">
        <v>41</v>
      </c>
      <c r="AC33" s="7">
        <v>0</v>
      </c>
      <c r="AD33" s="7">
        <v>17</v>
      </c>
      <c r="AE33" s="7">
        <v>0</v>
      </c>
      <c r="AF33" s="7">
        <v>46</v>
      </c>
      <c r="AG33" s="7">
        <v>0</v>
      </c>
      <c r="AH33" s="7">
        <v>107</v>
      </c>
      <c r="AI33" s="7">
        <v>0</v>
      </c>
    </row>
    <row r="34" spans="1:35" s="3" customFormat="1" ht="24.95" customHeight="1">
      <c r="A34" s="57"/>
      <c r="B34" s="7" t="s">
        <v>66</v>
      </c>
      <c r="C34" s="7">
        <f>D34+'11月'!C34</f>
        <v>77335</v>
      </c>
      <c r="D34" s="7">
        <f t="shared" si="8"/>
        <v>3266</v>
      </c>
      <c r="E34" s="7">
        <v>88</v>
      </c>
      <c r="F34" s="7">
        <v>24</v>
      </c>
      <c r="G34" s="7">
        <v>114</v>
      </c>
      <c r="H34" s="7">
        <v>110</v>
      </c>
      <c r="I34" s="7">
        <v>47</v>
      </c>
      <c r="J34" s="7">
        <v>55</v>
      </c>
      <c r="K34" s="7">
        <v>74</v>
      </c>
      <c r="L34" s="7">
        <v>53</v>
      </c>
      <c r="M34" s="7">
        <v>0</v>
      </c>
      <c r="N34" s="7">
        <v>68</v>
      </c>
      <c r="O34" s="7">
        <v>58</v>
      </c>
      <c r="P34" s="7">
        <v>137</v>
      </c>
      <c r="Q34" s="7">
        <v>162</v>
      </c>
      <c r="R34" s="7">
        <v>151</v>
      </c>
      <c r="S34" s="7">
        <v>149</v>
      </c>
      <c r="T34" s="7">
        <v>130</v>
      </c>
      <c r="U34" s="7">
        <v>157</v>
      </c>
      <c r="V34" s="7">
        <v>163</v>
      </c>
      <c r="W34" s="7">
        <v>266</v>
      </c>
      <c r="X34" s="7">
        <v>208</v>
      </c>
      <c r="Y34" s="7">
        <v>166</v>
      </c>
      <c r="Z34" s="7">
        <v>108</v>
      </c>
      <c r="AA34" s="7">
        <v>179</v>
      </c>
      <c r="AB34" s="7">
        <v>103</v>
      </c>
      <c r="AC34" s="7">
        <v>55</v>
      </c>
      <c r="AD34" s="7">
        <v>65</v>
      </c>
      <c r="AE34" s="7">
        <v>54</v>
      </c>
      <c r="AF34" s="7">
        <v>7</v>
      </c>
      <c r="AG34" s="7">
        <v>64</v>
      </c>
      <c r="AH34" s="7">
        <v>136</v>
      </c>
      <c r="AI34" s="7">
        <v>115</v>
      </c>
    </row>
    <row r="35" spans="1:35" s="3" customFormat="1" ht="24.95" customHeight="1">
      <c r="A35" s="58" t="s">
        <v>67</v>
      </c>
      <c r="B35" s="7" t="s">
        <v>68</v>
      </c>
      <c r="C35" s="7">
        <f>D35+'11月'!C35</f>
        <v>583.76700000000005</v>
      </c>
      <c r="D35" s="7">
        <f t="shared" si="8"/>
        <v>55.608000000000004</v>
      </c>
      <c r="E35" s="21">
        <v>1.6779999999999999</v>
      </c>
      <c r="F35" s="7">
        <v>1.7370000000000001</v>
      </c>
      <c r="G35" s="7">
        <v>1.8979999999999999</v>
      </c>
      <c r="H35" s="7">
        <v>1.931</v>
      </c>
      <c r="I35" s="7">
        <v>1.859</v>
      </c>
      <c r="J35" s="7">
        <v>1.732</v>
      </c>
      <c r="K35" s="7">
        <v>1.726</v>
      </c>
      <c r="L35" s="7">
        <v>1.8049999999999999</v>
      </c>
      <c r="M35" s="7">
        <v>1.8049999999999999</v>
      </c>
      <c r="N35" s="7">
        <v>1.825</v>
      </c>
      <c r="O35" s="7">
        <v>1.865</v>
      </c>
      <c r="P35" s="7">
        <v>1.8240000000000001</v>
      </c>
      <c r="Q35" s="7">
        <v>1.8</v>
      </c>
      <c r="R35" s="7">
        <v>1.7310000000000001</v>
      </c>
      <c r="S35" s="7">
        <v>1.718</v>
      </c>
      <c r="T35" s="7">
        <v>1.7310000000000001</v>
      </c>
      <c r="U35" s="7">
        <v>1.756</v>
      </c>
      <c r="V35" s="7">
        <v>1.75</v>
      </c>
      <c r="W35" s="7">
        <v>1.77</v>
      </c>
      <c r="X35" s="7">
        <v>1.794</v>
      </c>
      <c r="Y35" s="7">
        <v>1.653</v>
      </c>
      <c r="Z35" s="7">
        <v>1.704</v>
      </c>
      <c r="AA35" s="7">
        <v>1.79</v>
      </c>
      <c r="AB35" s="7">
        <v>1.827</v>
      </c>
      <c r="AC35" s="7">
        <v>1.962</v>
      </c>
      <c r="AD35" s="7">
        <v>1.9370000000000001</v>
      </c>
      <c r="AE35" s="7">
        <v>1.901</v>
      </c>
      <c r="AF35" s="7">
        <v>1.8580000000000001</v>
      </c>
      <c r="AG35" s="7">
        <v>1.784</v>
      </c>
      <c r="AH35" s="7">
        <v>1.7490000000000001</v>
      </c>
      <c r="AI35" s="7">
        <v>1.708</v>
      </c>
    </row>
    <row r="36" spans="1:35" s="3" customFormat="1" ht="24.95" customHeight="1">
      <c r="A36" s="59"/>
      <c r="B36" s="7" t="s">
        <v>69</v>
      </c>
      <c r="C36" s="7">
        <f>D36+'11月'!C36</f>
        <v>2533.0420000000013</v>
      </c>
      <c r="D36" s="7">
        <f t="shared" si="8"/>
        <v>242.88500000000008</v>
      </c>
      <c r="E36" s="7">
        <v>7.835</v>
      </c>
      <c r="F36" s="52">
        <v>7.835</v>
      </c>
      <c r="G36" s="52">
        <v>7.835</v>
      </c>
      <c r="H36" s="52">
        <v>7.835</v>
      </c>
      <c r="I36" s="52">
        <v>7.835</v>
      </c>
      <c r="J36" s="52">
        <v>7.835</v>
      </c>
      <c r="K36" s="52">
        <v>7.835</v>
      </c>
      <c r="L36" s="52">
        <v>7.835</v>
      </c>
      <c r="M36" s="52">
        <v>7.835</v>
      </c>
      <c r="N36" s="52">
        <v>7.835</v>
      </c>
      <c r="O36" s="52">
        <v>7.835</v>
      </c>
      <c r="P36" s="52">
        <v>7.835</v>
      </c>
      <c r="Q36" s="52">
        <v>7.835</v>
      </c>
      <c r="R36" s="52">
        <v>7.835</v>
      </c>
      <c r="S36" s="52">
        <v>7.835</v>
      </c>
      <c r="T36" s="52">
        <v>7.835</v>
      </c>
      <c r="U36" s="52">
        <v>7.835</v>
      </c>
      <c r="V36" s="52">
        <v>7.835</v>
      </c>
      <c r="W36" s="52">
        <v>7.835</v>
      </c>
      <c r="X36" s="52">
        <v>7.835</v>
      </c>
      <c r="Y36" s="52">
        <v>7.835</v>
      </c>
      <c r="Z36" s="52">
        <v>7.835</v>
      </c>
      <c r="AA36" s="52">
        <v>7.835</v>
      </c>
      <c r="AB36" s="52">
        <v>7.835</v>
      </c>
      <c r="AC36" s="52">
        <v>7.835</v>
      </c>
      <c r="AD36" s="52">
        <v>7.835</v>
      </c>
      <c r="AE36" s="52">
        <v>7.835</v>
      </c>
      <c r="AF36" s="52">
        <v>7.835</v>
      </c>
      <c r="AG36" s="52">
        <v>7.835</v>
      </c>
      <c r="AH36" s="52">
        <v>7.835</v>
      </c>
      <c r="AI36" s="52">
        <v>7.835</v>
      </c>
    </row>
    <row r="37" spans="1:35" s="3" customFormat="1" ht="24.95" customHeight="1">
      <c r="A37" s="60"/>
      <c r="B37" s="7" t="s">
        <v>70</v>
      </c>
      <c r="C37" s="7">
        <f>D37+'11月'!C37</f>
        <v>107.85400000000003</v>
      </c>
      <c r="D37" s="7">
        <f t="shared" si="8"/>
        <v>9.9200000000000035</v>
      </c>
      <c r="E37" s="7">
        <v>0.32</v>
      </c>
      <c r="F37" s="52">
        <v>0.32</v>
      </c>
      <c r="G37" s="52">
        <v>0.32</v>
      </c>
      <c r="H37" s="52">
        <v>0.32</v>
      </c>
      <c r="I37" s="52">
        <v>0.32</v>
      </c>
      <c r="J37" s="52">
        <v>0.32</v>
      </c>
      <c r="K37" s="52">
        <v>0.32</v>
      </c>
      <c r="L37" s="52">
        <v>0.32</v>
      </c>
      <c r="M37" s="52">
        <v>0.32</v>
      </c>
      <c r="N37" s="52">
        <v>0.32</v>
      </c>
      <c r="O37" s="52">
        <v>0.32</v>
      </c>
      <c r="P37" s="52">
        <v>0.32</v>
      </c>
      <c r="Q37" s="52">
        <v>0.32</v>
      </c>
      <c r="R37" s="52">
        <v>0.32</v>
      </c>
      <c r="S37" s="52">
        <v>0.32</v>
      </c>
      <c r="T37" s="52">
        <v>0.32</v>
      </c>
      <c r="U37" s="52">
        <v>0.32</v>
      </c>
      <c r="V37" s="52">
        <v>0.32</v>
      </c>
      <c r="W37" s="52">
        <v>0.32</v>
      </c>
      <c r="X37" s="52">
        <v>0.32</v>
      </c>
      <c r="Y37" s="52">
        <v>0.32</v>
      </c>
      <c r="Z37" s="52">
        <v>0.32</v>
      </c>
      <c r="AA37" s="52">
        <v>0.32</v>
      </c>
      <c r="AB37" s="52">
        <v>0.32</v>
      </c>
      <c r="AC37" s="52">
        <v>0.32</v>
      </c>
      <c r="AD37" s="52">
        <v>0.32</v>
      </c>
      <c r="AE37" s="52">
        <v>0.32</v>
      </c>
      <c r="AF37" s="52">
        <v>0.32</v>
      </c>
      <c r="AG37" s="52">
        <v>0.32</v>
      </c>
      <c r="AH37" s="52">
        <v>0.32</v>
      </c>
      <c r="AI37" s="52">
        <v>0.32</v>
      </c>
    </row>
    <row r="38" spans="1:35" s="1" customFormat="1" ht="18" customHeight="1">
      <c r="B38" s="22" t="s">
        <v>71</v>
      </c>
      <c r="C38" s="23">
        <f>C31/C5</f>
        <v>0.19259050306311609</v>
      </c>
      <c r="D38" s="23">
        <f>D31/D5</f>
        <v>0.21358346944676729</v>
      </c>
      <c r="G38" s="24"/>
    </row>
    <row r="39" spans="1:35" s="1" customFormat="1" ht="18" customHeight="1">
      <c r="B39" s="22" t="s">
        <v>72</v>
      </c>
      <c r="C39" s="23">
        <f>C32/C5</f>
        <v>2.5170729029633944E-2</v>
      </c>
      <c r="D39" s="23">
        <f>D32/D5</f>
        <v>2.6655829692787417E-2</v>
      </c>
      <c r="G39" s="24"/>
    </row>
    <row r="40" spans="1:35" s="1" customFormat="1" ht="18" customHeight="1">
      <c r="B40" s="22" t="s">
        <v>73</v>
      </c>
      <c r="C40" s="23">
        <f>C33/C5</f>
        <v>7.7813936520630997E-2</v>
      </c>
      <c r="D40" s="23">
        <f>D33/D5</f>
        <v>2.6649577592472471E-2</v>
      </c>
      <c r="G40" s="24"/>
    </row>
    <row r="41" spans="1:35">
      <c r="G41" s="25"/>
    </row>
    <row r="42" spans="1:35">
      <c r="G42" s="25"/>
    </row>
    <row r="43" spans="1:35">
      <c r="G43" s="25"/>
    </row>
    <row r="44" spans="1:35">
      <c r="G44" s="25"/>
    </row>
    <row r="45" spans="1:35">
      <c r="G45" s="25"/>
    </row>
    <row r="46" spans="1:35">
      <c r="G46" s="25"/>
    </row>
    <row r="47" spans="1:35">
      <c r="G47" s="25"/>
    </row>
    <row r="48" spans="1:35">
      <c r="G48" s="25"/>
    </row>
    <row r="49" spans="7:7">
      <c r="G49" s="25"/>
    </row>
    <row r="50" spans="7:7">
      <c r="G50" s="25"/>
    </row>
    <row r="51" spans="7:7">
      <c r="G51" s="25"/>
    </row>
    <row r="52" spans="7:7">
      <c r="G52" s="25"/>
    </row>
    <row r="53" spans="7:7">
      <c r="G53" s="25"/>
    </row>
    <row r="54" spans="7:7">
      <c r="G54" s="25"/>
    </row>
    <row r="55" spans="7:7">
      <c r="G55" s="25"/>
    </row>
    <row r="56" spans="7:7">
      <c r="G56" s="25"/>
    </row>
    <row r="57" spans="7:7">
      <c r="G57" s="25"/>
    </row>
    <row r="58" spans="7:7">
      <c r="G58" s="25"/>
    </row>
    <row r="59" spans="7:7">
      <c r="G59" s="25"/>
    </row>
    <row r="60" spans="7:7">
      <c r="G60" s="25"/>
    </row>
    <row r="61" spans="7:7">
      <c r="G61" s="25"/>
    </row>
    <row r="62" spans="7:7">
      <c r="G62" s="25"/>
    </row>
    <row r="63" spans="7:7">
      <c r="G63" s="25"/>
    </row>
  </sheetData>
  <mergeCells count="10">
    <mergeCell ref="A35:A37"/>
    <mergeCell ref="A13:A15"/>
    <mergeCell ref="A16:A17"/>
    <mergeCell ref="A19:A29"/>
    <mergeCell ref="A31:A34"/>
    <mergeCell ref="A1:B1"/>
    <mergeCell ref="C1:AI1"/>
    <mergeCell ref="A3:A5"/>
    <mergeCell ref="A6:A8"/>
    <mergeCell ref="A9:A12"/>
  </mergeCells>
  <phoneticPr fontId="12" type="noConversion"/>
  <pageMargins left="0.69930555555555596" right="0.69930555555555596" top="0.75" bottom="0.75" header="0.3" footer="0.3"/>
  <pageSetup paperSize="8" scale="5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63"/>
  <sheetViews>
    <sheetView workbookViewId="0">
      <pane xSplit="4" topLeftCell="M1" activePane="topRight" state="frozen"/>
      <selection pane="topRight" activeCell="M45" sqref="M45"/>
    </sheetView>
  </sheetViews>
  <sheetFormatPr defaultColWidth="9" defaultRowHeight="13.5"/>
  <cols>
    <col min="1" max="1" width="8.75" style="4" customWidth="1"/>
    <col min="2" max="2" width="13.625" style="4" customWidth="1"/>
    <col min="3" max="3" width="10.625" style="4" customWidth="1"/>
    <col min="4" max="4" width="10.5" style="4" customWidth="1"/>
    <col min="5" max="12" width="9" style="4"/>
    <col min="13" max="13" width="10.875" style="4" customWidth="1"/>
    <col min="14" max="32" width="9" style="4"/>
    <col min="33" max="33" width="9" style="4" hidden="1" customWidth="1"/>
    <col min="34" max="34" width="8.375" style="4" hidden="1" customWidth="1"/>
    <col min="35" max="35" width="9" style="4" hidden="1" customWidth="1"/>
    <col min="36" max="16384" width="9" style="4"/>
  </cols>
  <sheetData>
    <row r="1" spans="1:35" s="1" customFormat="1" ht="42.75" customHeight="1">
      <c r="A1" s="53">
        <v>44228</v>
      </c>
      <c r="B1" s="54"/>
      <c r="C1" s="55" t="s">
        <v>0</v>
      </c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55"/>
      <c r="X1" s="55"/>
      <c r="Y1" s="55"/>
      <c r="Z1" s="55"/>
      <c r="AA1" s="55"/>
      <c r="AB1" s="55"/>
      <c r="AC1" s="55"/>
      <c r="AD1" s="55"/>
      <c r="AE1" s="55"/>
      <c r="AF1" s="55"/>
      <c r="AG1" s="55"/>
      <c r="AH1" s="55"/>
      <c r="AI1" s="55"/>
    </row>
    <row r="2" spans="1:35" s="2" customFormat="1" ht="24.95" customHeight="1">
      <c r="A2" s="5"/>
      <c r="B2" s="5" t="s">
        <v>1</v>
      </c>
      <c r="C2" s="5" t="s">
        <v>2</v>
      </c>
      <c r="D2" s="5" t="s">
        <v>3</v>
      </c>
      <c r="E2" s="5" t="s">
        <v>4</v>
      </c>
      <c r="F2" s="5" t="s">
        <v>5</v>
      </c>
      <c r="G2" s="5" t="s">
        <v>6</v>
      </c>
      <c r="H2" s="5" t="s">
        <v>7</v>
      </c>
      <c r="I2" s="5" t="s">
        <v>8</v>
      </c>
      <c r="J2" s="5" t="s">
        <v>9</v>
      </c>
      <c r="K2" s="5" t="s">
        <v>10</v>
      </c>
      <c r="L2" s="5" t="s">
        <v>11</v>
      </c>
      <c r="M2" s="5" t="s">
        <v>12</v>
      </c>
      <c r="N2" s="5" t="s">
        <v>13</v>
      </c>
      <c r="O2" s="5" t="s">
        <v>14</v>
      </c>
      <c r="P2" s="5" t="s">
        <v>15</v>
      </c>
      <c r="Q2" s="5" t="s">
        <v>16</v>
      </c>
      <c r="R2" s="5" t="s">
        <v>17</v>
      </c>
      <c r="S2" s="5" t="s">
        <v>18</v>
      </c>
      <c r="T2" s="5" t="s">
        <v>19</v>
      </c>
      <c r="U2" s="5" t="s">
        <v>20</v>
      </c>
      <c r="V2" s="5" t="s">
        <v>21</v>
      </c>
      <c r="W2" s="5" t="s">
        <v>22</v>
      </c>
      <c r="X2" s="5" t="s">
        <v>23</v>
      </c>
      <c r="Y2" s="5" t="s">
        <v>24</v>
      </c>
      <c r="Z2" s="5" t="s">
        <v>25</v>
      </c>
      <c r="AA2" s="5" t="s">
        <v>26</v>
      </c>
      <c r="AB2" s="5" t="s">
        <v>27</v>
      </c>
      <c r="AC2" s="5" t="s">
        <v>28</v>
      </c>
      <c r="AD2" s="5" t="s">
        <v>29</v>
      </c>
      <c r="AE2" s="5" t="s">
        <v>30</v>
      </c>
      <c r="AF2" s="5" t="s">
        <v>31</v>
      </c>
      <c r="AG2" s="5" t="s">
        <v>32</v>
      </c>
      <c r="AH2" s="5" t="s">
        <v>33</v>
      </c>
      <c r="AI2" s="5" t="s">
        <v>34</v>
      </c>
    </row>
    <row r="3" spans="1:35" s="3" customFormat="1" ht="25.5" customHeight="1">
      <c r="A3" s="56" t="s">
        <v>35</v>
      </c>
      <c r="B3" s="7" t="s">
        <v>36</v>
      </c>
      <c r="C3" s="7">
        <f>'1月'!C3+D3</f>
        <v>17519.400000000001</v>
      </c>
      <c r="D3" s="7">
        <f t="shared" ref="D3:D9" si="0">SUM(E3:AI3)</f>
        <v>5727.9</v>
      </c>
      <c r="E3" s="7">
        <v>367</v>
      </c>
      <c r="F3" s="7">
        <v>378.8</v>
      </c>
      <c r="G3" s="7">
        <v>362.7</v>
      </c>
      <c r="H3" s="7">
        <v>383.7</v>
      </c>
      <c r="I3" s="7">
        <v>381.7</v>
      </c>
      <c r="J3" s="7">
        <v>379.9</v>
      </c>
      <c r="K3" s="7">
        <v>248.7</v>
      </c>
      <c r="L3" s="7">
        <v>0</v>
      </c>
      <c r="M3" s="7">
        <v>0</v>
      </c>
      <c r="N3" s="7">
        <v>0</v>
      </c>
      <c r="O3" s="7">
        <v>0</v>
      </c>
      <c r="P3" s="7">
        <v>0</v>
      </c>
      <c r="Q3" s="7">
        <v>0</v>
      </c>
      <c r="R3" s="7">
        <v>0</v>
      </c>
      <c r="S3" s="7">
        <v>0</v>
      </c>
      <c r="T3" s="7">
        <v>0</v>
      </c>
      <c r="U3" s="7">
        <v>0</v>
      </c>
      <c r="V3" s="7">
        <v>0</v>
      </c>
      <c r="W3" s="7">
        <v>0</v>
      </c>
      <c r="X3" s="7">
        <v>0</v>
      </c>
      <c r="Y3" s="7">
        <v>448.3</v>
      </c>
      <c r="Z3" s="7">
        <v>394.5</v>
      </c>
      <c r="AA3" s="7">
        <v>400.6</v>
      </c>
      <c r="AB3" s="7">
        <v>410.5</v>
      </c>
      <c r="AC3" s="7">
        <v>400.2</v>
      </c>
      <c r="AD3" s="7">
        <v>405.9</v>
      </c>
      <c r="AE3" s="7">
        <v>399.1</v>
      </c>
      <c r="AF3" s="7">
        <v>366.3</v>
      </c>
      <c r="AG3" s="7"/>
      <c r="AH3" s="7"/>
      <c r="AI3" s="30"/>
    </row>
    <row r="4" spans="1:35" s="3" customFormat="1" ht="26.25" customHeight="1">
      <c r="A4" s="56"/>
      <c r="B4" s="7" t="s">
        <v>37</v>
      </c>
      <c r="C4" s="7">
        <f>'1月'!C4+D4</f>
        <v>22687.499999999996</v>
      </c>
      <c r="D4" s="7">
        <f t="shared" si="0"/>
        <v>10687.699999999999</v>
      </c>
      <c r="E4" s="7">
        <v>390.7</v>
      </c>
      <c r="F4" s="7">
        <v>374.3</v>
      </c>
      <c r="G4" s="7">
        <v>382.8</v>
      </c>
      <c r="H4" s="7">
        <v>369.8</v>
      </c>
      <c r="I4" s="7">
        <v>378.4</v>
      </c>
      <c r="J4" s="7">
        <v>372</v>
      </c>
      <c r="K4" s="7">
        <v>377.9</v>
      </c>
      <c r="L4" s="7">
        <v>376.3</v>
      </c>
      <c r="M4" s="7">
        <v>381</v>
      </c>
      <c r="N4" s="7">
        <v>386.1</v>
      </c>
      <c r="O4" s="7">
        <v>393.9</v>
      </c>
      <c r="P4" s="7">
        <v>389.2</v>
      </c>
      <c r="Q4" s="7">
        <v>393.1</v>
      </c>
      <c r="R4" s="7">
        <v>387.2</v>
      </c>
      <c r="S4" s="7">
        <v>365.4</v>
      </c>
      <c r="T4" s="7">
        <v>368</v>
      </c>
      <c r="U4" s="7">
        <v>384</v>
      </c>
      <c r="V4" s="7">
        <v>367.9</v>
      </c>
      <c r="W4" s="7">
        <v>353.8</v>
      </c>
      <c r="X4" s="7">
        <v>390.6</v>
      </c>
      <c r="Y4" s="7">
        <v>378.3</v>
      </c>
      <c r="Z4" s="7">
        <v>379.2</v>
      </c>
      <c r="AA4" s="7">
        <v>378.5</v>
      </c>
      <c r="AB4" s="7">
        <v>403.6</v>
      </c>
      <c r="AC4" s="7">
        <v>408.9</v>
      </c>
      <c r="AD4" s="7">
        <v>374.8</v>
      </c>
      <c r="AE4" s="7">
        <v>379.4</v>
      </c>
      <c r="AF4" s="7">
        <v>402.6</v>
      </c>
      <c r="AG4" s="7"/>
      <c r="AH4" s="30"/>
      <c r="AI4" s="7"/>
    </row>
    <row r="5" spans="1:35" s="3" customFormat="1" ht="24.95" customHeight="1">
      <c r="A5" s="56"/>
      <c r="B5" s="7" t="s">
        <v>38</v>
      </c>
      <c r="C5" s="7">
        <f>'1月'!C5+D5</f>
        <v>40206.900000000009</v>
      </c>
      <c r="D5" s="7">
        <f t="shared" si="0"/>
        <v>16415.600000000002</v>
      </c>
      <c r="E5" s="7">
        <f>SUM(E3:E4)</f>
        <v>757.7</v>
      </c>
      <c r="F5" s="7">
        <f t="shared" ref="F5:AI5" si="1">SUM(F3:F4)</f>
        <v>753.1</v>
      </c>
      <c r="G5" s="7">
        <f t="shared" si="1"/>
        <v>745.5</v>
      </c>
      <c r="H5" s="7">
        <f t="shared" si="1"/>
        <v>753.5</v>
      </c>
      <c r="I5" s="7">
        <f t="shared" si="1"/>
        <v>760.09999999999991</v>
      </c>
      <c r="J5" s="7">
        <f t="shared" si="1"/>
        <v>751.9</v>
      </c>
      <c r="K5" s="7">
        <f t="shared" si="1"/>
        <v>626.59999999999991</v>
      </c>
      <c r="L5" s="7">
        <f t="shared" si="1"/>
        <v>376.3</v>
      </c>
      <c r="M5" s="7">
        <f t="shared" si="1"/>
        <v>381</v>
      </c>
      <c r="N5" s="7">
        <f t="shared" si="1"/>
        <v>386.1</v>
      </c>
      <c r="O5" s="7">
        <f t="shared" si="1"/>
        <v>393.9</v>
      </c>
      <c r="P5" s="7">
        <f t="shared" si="1"/>
        <v>389.2</v>
      </c>
      <c r="Q5" s="7">
        <f t="shared" si="1"/>
        <v>393.1</v>
      </c>
      <c r="R5" s="7">
        <f t="shared" si="1"/>
        <v>387.2</v>
      </c>
      <c r="S5" s="7">
        <f t="shared" si="1"/>
        <v>365.4</v>
      </c>
      <c r="T5" s="7">
        <f t="shared" si="1"/>
        <v>368</v>
      </c>
      <c r="U5" s="7">
        <f t="shared" si="1"/>
        <v>384</v>
      </c>
      <c r="V5" s="7">
        <f t="shared" si="1"/>
        <v>367.9</v>
      </c>
      <c r="W5" s="7">
        <f t="shared" si="1"/>
        <v>353.8</v>
      </c>
      <c r="X5" s="7">
        <f t="shared" si="1"/>
        <v>390.6</v>
      </c>
      <c r="Y5" s="7">
        <f t="shared" si="1"/>
        <v>826.6</v>
      </c>
      <c r="Z5" s="7">
        <f t="shared" si="1"/>
        <v>773.7</v>
      </c>
      <c r="AA5" s="7">
        <f t="shared" si="1"/>
        <v>779.1</v>
      </c>
      <c r="AB5" s="7">
        <f t="shared" si="1"/>
        <v>814.1</v>
      </c>
      <c r="AC5" s="7">
        <f t="shared" si="1"/>
        <v>809.09999999999991</v>
      </c>
      <c r="AD5" s="7">
        <f t="shared" si="1"/>
        <v>780.7</v>
      </c>
      <c r="AE5" s="7">
        <f t="shared" si="1"/>
        <v>778.5</v>
      </c>
      <c r="AF5" s="7">
        <f t="shared" si="1"/>
        <v>768.90000000000009</v>
      </c>
      <c r="AG5" s="7">
        <f t="shared" si="1"/>
        <v>0</v>
      </c>
      <c r="AH5" s="7">
        <f t="shared" si="1"/>
        <v>0</v>
      </c>
      <c r="AI5" s="7">
        <f t="shared" si="1"/>
        <v>0</v>
      </c>
    </row>
    <row r="6" spans="1:35" s="3" customFormat="1" ht="24.95" customHeight="1">
      <c r="A6" s="56" t="s">
        <v>39</v>
      </c>
      <c r="B6" s="7" t="s">
        <v>40</v>
      </c>
      <c r="C6" s="7">
        <f>'1月'!C6+D6</f>
        <v>8152800</v>
      </c>
      <c r="D6" s="7">
        <f t="shared" si="0"/>
        <v>2554320</v>
      </c>
      <c r="E6" s="7">
        <v>186720</v>
      </c>
      <c r="F6" s="7">
        <v>182160</v>
      </c>
      <c r="G6" s="7">
        <v>179040</v>
      </c>
      <c r="H6" s="7">
        <v>177120</v>
      </c>
      <c r="I6" s="7">
        <v>178560</v>
      </c>
      <c r="J6" s="7">
        <v>183360</v>
      </c>
      <c r="K6" s="7">
        <v>161280</v>
      </c>
      <c r="L6" s="7">
        <v>0</v>
      </c>
      <c r="M6" s="7">
        <v>0</v>
      </c>
      <c r="N6" s="7">
        <v>0</v>
      </c>
      <c r="O6" s="7">
        <v>0</v>
      </c>
      <c r="P6" s="26">
        <v>0</v>
      </c>
      <c r="Q6" s="7">
        <v>0</v>
      </c>
      <c r="R6" s="7">
        <v>0</v>
      </c>
      <c r="S6" s="7">
        <v>0</v>
      </c>
      <c r="T6" s="7">
        <v>0</v>
      </c>
      <c r="U6" s="26">
        <v>0</v>
      </c>
      <c r="V6" s="7">
        <v>0</v>
      </c>
      <c r="W6" s="7">
        <v>0</v>
      </c>
      <c r="X6" s="7">
        <v>0</v>
      </c>
      <c r="Y6" s="7">
        <v>146640</v>
      </c>
      <c r="Z6" s="7">
        <v>170160</v>
      </c>
      <c r="AA6" s="7">
        <v>171360</v>
      </c>
      <c r="AB6" s="7">
        <v>171120</v>
      </c>
      <c r="AC6" s="7">
        <v>159600</v>
      </c>
      <c r="AD6" s="7">
        <v>162480</v>
      </c>
      <c r="AE6" s="7">
        <v>162480</v>
      </c>
      <c r="AF6" s="7">
        <v>162240</v>
      </c>
      <c r="AG6" s="7"/>
      <c r="AH6" s="7"/>
      <c r="AI6" s="7"/>
    </row>
    <row r="7" spans="1:35" s="3" customFormat="1" ht="24.95" customHeight="1">
      <c r="A7" s="56"/>
      <c r="B7" s="7" t="s">
        <v>41</v>
      </c>
      <c r="C7" s="7">
        <f>'1月'!C7+D7</f>
        <v>9073200</v>
      </c>
      <c r="D7" s="7">
        <f t="shared" si="0"/>
        <v>4192800</v>
      </c>
      <c r="E7" s="7">
        <v>152640</v>
      </c>
      <c r="F7" s="7">
        <v>155520</v>
      </c>
      <c r="G7" s="7">
        <v>151920</v>
      </c>
      <c r="H7" s="7">
        <v>152400</v>
      </c>
      <c r="I7" s="7">
        <v>158160</v>
      </c>
      <c r="J7" s="7">
        <v>144960</v>
      </c>
      <c r="K7" s="7">
        <v>145920</v>
      </c>
      <c r="L7" s="7">
        <v>153360</v>
      </c>
      <c r="M7" s="7">
        <v>153120</v>
      </c>
      <c r="N7" s="7">
        <v>153120</v>
      </c>
      <c r="O7" s="7">
        <v>151680</v>
      </c>
      <c r="P7" s="26">
        <v>157920</v>
      </c>
      <c r="Q7" s="7">
        <v>154800</v>
      </c>
      <c r="R7" s="7">
        <v>152400</v>
      </c>
      <c r="S7" s="7">
        <v>154800</v>
      </c>
      <c r="T7" s="7">
        <v>153120</v>
      </c>
      <c r="U7" s="7">
        <v>150240</v>
      </c>
      <c r="V7" s="7">
        <v>154800</v>
      </c>
      <c r="W7" s="7">
        <v>143280</v>
      </c>
      <c r="X7" s="7">
        <v>135120</v>
      </c>
      <c r="Y7" s="7">
        <v>147600</v>
      </c>
      <c r="Z7" s="7">
        <v>150240</v>
      </c>
      <c r="AA7" s="7">
        <v>152880</v>
      </c>
      <c r="AB7" s="7">
        <v>154080</v>
      </c>
      <c r="AC7" s="7">
        <v>144240</v>
      </c>
      <c r="AD7" s="7">
        <v>138000</v>
      </c>
      <c r="AE7" s="7">
        <v>140400</v>
      </c>
      <c r="AF7" s="7">
        <v>136080</v>
      </c>
      <c r="AG7" s="7"/>
      <c r="AH7" s="7"/>
      <c r="AI7" s="26"/>
    </row>
    <row r="8" spans="1:35" s="3" customFormat="1" ht="24.95" customHeight="1">
      <c r="A8" s="56"/>
      <c r="B8" s="7" t="s">
        <v>38</v>
      </c>
      <c r="C8" s="7">
        <f>'1月'!C8+D8</f>
        <v>17226000</v>
      </c>
      <c r="D8" s="7">
        <f t="shared" si="0"/>
        <v>6747120</v>
      </c>
      <c r="E8" s="7">
        <f t="shared" ref="E8:AI8" si="2">SUM(E6:E7)</f>
        <v>339360</v>
      </c>
      <c r="F8" s="7">
        <f t="shared" si="2"/>
        <v>337680</v>
      </c>
      <c r="G8" s="7">
        <f t="shared" si="2"/>
        <v>330960</v>
      </c>
      <c r="H8" s="7">
        <f t="shared" si="2"/>
        <v>329520</v>
      </c>
      <c r="I8" s="7">
        <f t="shared" si="2"/>
        <v>336720</v>
      </c>
      <c r="J8" s="7">
        <f t="shared" si="2"/>
        <v>328320</v>
      </c>
      <c r="K8" s="7">
        <f t="shared" si="2"/>
        <v>307200</v>
      </c>
      <c r="L8" s="7">
        <f t="shared" si="2"/>
        <v>153360</v>
      </c>
      <c r="M8" s="7">
        <f t="shared" si="2"/>
        <v>153120</v>
      </c>
      <c r="N8" s="7">
        <f t="shared" si="2"/>
        <v>153120</v>
      </c>
      <c r="O8" s="7">
        <f t="shared" si="2"/>
        <v>151680</v>
      </c>
      <c r="P8" s="7">
        <f t="shared" si="2"/>
        <v>157920</v>
      </c>
      <c r="Q8" s="7">
        <f t="shared" si="2"/>
        <v>154800</v>
      </c>
      <c r="R8" s="7">
        <f t="shared" si="2"/>
        <v>152400</v>
      </c>
      <c r="S8" s="7">
        <f t="shared" si="2"/>
        <v>154800</v>
      </c>
      <c r="T8" s="7">
        <f t="shared" si="2"/>
        <v>153120</v>
      </c>
      <c r="U8" s="7">
        <f t="shared" si="2"/>
        <v>150240</v>
      </c>
      <c r="V8" s="7">
        <f t="shared" si="2"/>
        <v>154800</v>
      </c>
      <c r="W8" s="7">
        <f t="shared" si="2"/>
        <v>143280</v>
      </c>
      <c r="X8" s="7">
        <f t="shared" si="2"/>
        <v>135120</v>
      </c>
      <c r="Y8" s="7">
        <f t="shared" si="2"/>
        <v>294240</v>
      </c>
      <c r="Z8" s="7">
        <f t="shared" si="2"/>
        <v>320400</v>
      </c>
      <c r="AA8" s="7">
        <f t="shared" si="2"/>
        <v>324240</v>
      </c>
      <c r="AB8" s="7">
        <f t="shared" si="2"/>
        <v>325200</v>
      </c>
      <c r="AC8" s="7">
        <f t="shared" si="2"/>
        <v>303840</v>
      </c>
      <c r="AD8" s="7">
        <f t="shared" si="2"/>
        <v>300480</v>
      </c>
      <c r="AE8" s="7">
        <f t="shared" si="2"/>
        <v>302880</v>
      </c>
      <c r="AF8" s="7">
        <f t="shared" si="2"/>
        <v>298320</v>
      </c>
      <c r="AG8" s="7">
        <f t="shared" si="2"/>
        <v>0</v>
      </c>
      <c r="AH8" s="7">
        <f t="shared" si="2"/>
        <v>0</v>
      </c>
      <c r="AI8" s="7">
        <f t="shared" si="2"/>
        <v>0</v>
      </c>
    </row>
    <row r="9" spans="1:35" s="3" customFormat="1" ht="24.95" customHeight="1">
      <c r="A9" s="56" t="s">
        <v>42</v>
      </c>
      <c r="B9" s="7" t="s">
        <v>38</v>
      </c>
      <c r="C9" s="7">
        <f>'1月'!C9+D9</f>
        <v>14562380</v>
      </c>
      <c r="D9" s="7">
        <f t="shared" si="0"/>
        <v>5606280</v>
      </c>
      <c r="E9" s="7">
        <v>288100</v>
      </c>
      <c r="F9" s="7">
        <v>286600</v>
      </c>
      <c r="G9" s="7">
        <v>285420</v>
      </c>
      <c r="H9" s="7">
        <v>283780</v>
      </c>
      <c r="I9" s="7">
        <v>285240</v>
      </c>
      <c r="J9" s="7">
        <v>277840</v>
      </c>
      <c r="K9" s="7">
        <v>258000</v>
      </c>
      <c r="L9" s="7">
        <v>117400</v>
      </c>
      <c r="M9" s="7">
        <v>118100</v>
      </c>
      <c r="N9" s="7">
        <v>119900</v>
      </c>
      <c r="O9" s="7">
        <v>122240</v>
      </c>
      <c r="P9" s="7">
        <v>128820</v>
      </c>
      <c r="Q9" s="7">
        <v>125500</v>
      </c>
      <c r="R9" s="7">
        <v>119060</v>
      </c>
      <c r="S9" s="7">
        <v>124500</v>
      </c>
      <c r="T9" s="7">
        <v>123720</v>
      </c>
      <c r="U9" s="7">
        <v>120420</v>
      </c>
      <c r="V9" s="7">
        <v>124720</v>
      </c>
      <c r="W9" s="7">
        <v>111620</v>
      </c>
      <c r="X9" s="7">
        <v>99420</v>
      </c>
      <c r="Y9" s="7">
        <v>246740</v>
      </c>
      <c r="Z9" s="7">
        <v>273180</v>
      </c>
      <c r="AA9" s="7">
        <v>275100</v>
      </c>
      <c r="AB9" s="7">
        <v>276900</v>
      </c>
      <c r="AC9" s="7">
        <v>254860</v>
      </c>
      <c r="AD9" s="7">
        <v>251880</v>
      </c>
      <c r="AE9" s="7">
        <v>256380</v>
      </c>
      <c r="AF9" s="7">
        <v>250840</v>
      </c>
      <c r="AG9" s="7"/>
      <c r="AH9" s="7"/>
      <c r="AI9" s="7"/>
    </row>
    <row r="10" spans="1:35" s="3" customFormat="1" ht="24.95" customHeight="1">
      <c r="A10" s="56"/>
      <c r="B10" s="6" t="s">
        <v>43</v>
      </c>
      <c r="C10" s="8">
        <f t="shared" ref="C10:AI10" si="3">SUM(C8/C5)</f>
        <v>428.43392552024642</v>
      </c>
      <c r="D10" s="8">
        <f t="shared" si="3"/>
        <v>411.01878700748063</v>
      </c>
      <c r="E10" s="8">
        <f t="shared" si="3"/>
        <v>447.88174739342747</v>
      </c>
      <c r="F10" s="8">
        <f t="shared" si="3"/>
        <v>448.3866684371265</v>
      </c>
      <c r="G10" s="8">
        <f t="shared" si="3"/>
        <v>443.94366197183098</v>
      </c>
      <c r="H10" s="8">
        <f t="shared" si="3"/>
        <v>437.31917717319175</v>
      </c>
      <c r="I10" s="8">
        <f t="shared" si="3"/>
        <v>442.99434284962513</v>
      </c>
      <c r="J10" s="8">
        <f t="shared" si="3"/>
        <v>436.65381034712067</v>
      </c>
      <c r="K10" s="8">
        <f t="shared" si="3"/>
        <v>490.26492180019159</v>
      </c>
      <c r="L10" s="8">
        <f t="shared" si="3"/>
        <v>407.54716981132077</v>
      </c>
      <c r="M10" s="8">
        <f t="shared" si="3"/>
        <v>401.88976377952758</v>
      </c>
      <c r="N10" s="8">
        <f t="shared" si="3"/>
        <v>396.58119658119654</v>
      </c>
      <c r="O10" s="8">
        <f t="shared" si="3"/>
        <v>385.07235338918508</v>
      </c>
      <c r="P10" s="8">
        <f t="shared" si="3"/>
        <v>405.75539568345323</v>
      </c>
      <c r="Q10" s="8">
        <f t="shared" si="3"/>
        <v>393.79292800814039</v>
      </c>
      <c r="R10" s="8">
        <f t="shared" si="3"/>
        <v>393.59504132231405</v>
      </c>
      <c r="S10" s="8">
        <f t="shared" si="3"/>
        <v>423.64532019704438</v>
      </c>
      <c r="T10" s="8">
        <f t="shared" si="3"/>
        <v>416.08695652173913</v>
      </c>
      <c r="U10" s="8">
        <f t="shared" si="3"/>
        <v>391.25</v>
      </c>
      <c r="V10" s="8">
        <f t="shared" si="3"/>
        <v>420.76651263930421</v>
      </c>
      <c r="W10" s="8">
        <f t="shared" si="3"/>
        <v>404.97456189937816</v>
      </c>
      <c r="X10" s="8">
        <f t="shared" si="3"/>
        <v>345.92933947772656</v>
      </c>
      <c r="Y10" s="8">
        <f t="shared" si="3"/>
        <v>355.96419066053716</v>
      </c>
      <c r="Z10" s="8">
        <f t="shared" si="3"/>
        <v>414.11399767351685</v>
      </c>
      <c r="AA10" s="8">
        <f t="shared" si="3"/>
        <v>416.17250673854448</v>
      </c>
      <c r="AB10" s="8">
        <f t="shared" si="3"/>
        <v>399.45952585677435</v>
      </c>
      <c r="AC10" s="8">
        <f t="shared" si="3"/>
        <v>375.52836484983317</v>
      </c>
      <c r="AD10" s="8">
        <f t="shared" si="3"/>
        <v>384.88535929294221</v>
      </c>
      <c r="AE10" s="8">
        <f t="shared" si="3"/>
        <v>389.05587668593449</v>
      </c>
      <c r="AF10" s="8">
        <f t="shared" si="3"/>
        <v>387.98283261802572</v>
      </c>
      <c r="AG10" s="8" t="e">
        <f t="shared" si="3"/>
        <v>#DIV/0!</v>
      </c>
      <c r="AH10" s="8" t="e">
        <f t="shared" si="3"/>
        <v>#DIV/0!</v>
      </c>
      <c r="AI10" s="8" t="e">
        <f t="shared" si="3"/>
        <v>#DIV/0!</v>
      </c>
    </row>
    <row r="11" spans="1:35" s="3" customFormat="1" ht="24.95" customHeight="1">
      <c r="A11" s="56"/>
      <c r="B11" s="9" t="s">
        <v>44</v>
      </c>
      <c r="C11" s="8">
        <f>(C8-C16)/C5</f>
        <v>362.21096378979718</v>
      </c>
      <c r="D11" s="8">
        <f>(D8-D16)/D5</f>
        <v>341.58239723190133</v>
      </c>
      <c r="E11" s="8">
        <f t="shared" ref="E11:AI11" si="4">SUM(E9/E5)</f>
        <v>380.22964233865645</v>
      </c>
      <c r="F11" s="8">
        <f t="shared" si="4"/>
        <v>380.56035055105565</v>
      </c>
      <c r="G11" s="8">
        <f t="shared" si="4"/>
        <v>382.85714285714283</v>
      </c>
      <c r="H11" s="8">
        <f t="shared" si="4"/>
        <v>376.61579296615793</v>
      </c>
      <c r="I11" s="8">
        <f t="shared" si="4"/>
        <v>375.26641231416926</v>
      </c>
      <c r="J11" s="8">
        <f t="shared" si="4"/>
        <v>369.51722303497809</v>
      </c>
      <c r="K11" s="8">
        <f t="shared" si="4"/>
        <v>411.74593041812966</v>
      </c>
      <c r="L11" s="8">
        <f t="shared" si="4"/>
        <v>311.98511825671005</v>
      </c>
      <c r="M11" s="8">
        <f t="shared" si="4"/>
        <v>309.9737532808399</v>
      </c>
      <c r="N11" s="8">
        <f t="shared" si="4"/>
        <v>310.54131054131051</v>
      </c>
      <c r="O11" s="8">
        <f t="shared" si="4"/>
        <v>310.33257171871037</v>
      </c>
      <c r="P11" s="8">
        <f t="shared" si="4"/>
        <v>330.98663926002058</v>
      </c>
      <c r="Q11" s="8">
        <f t="shared" si="4"/>
        <v>319.25718646654792</v>
      </c>
      <c r="R11" s="8">
        <f t="shared" si="4"/>
        <v>307.48966942148763</v>
      </c>
      <c r="S11" s="8">
        <f t="shared" si="4"/>
        <v>340.72249589490968</v>
      </c>
      <c r="T11" s="8">
        <f t="shared" si="4"/>
        <v>336.19565217391306</v>
      </c>
      <c r="U11" s="8">
        <f t="shared" si="4"/>
        <v>313.59375</v>
      </c>
      <c r="V11" s="8">
        <f t="shared" si="4"/>
        <v>339.00516444686059</v>
      </c>
      <c r="W11" s="8">
        <f t="shared" si="4"/>
        <v>315.48897682306387</v>
      </c>
      <c r="X11" s="8">
        <f t="shared" si="4"/>
        <v>254.53149001536096</v>
      </c>
      <c r="Y11" s="8">
        <f t="shared" si="4"/>
        <v>298.49987902250183</v>
      </c>
      <c r="Z11" s="8">
        <f t="shared" si="4"/>
        <v>353.08259015122138</v>
      </c>
      <c r="AA11" s="8">
        <f t="shared" si="4"/>
        <v>353.09973045822102</v>
      </c>
      <c r="AB11" s="8">
        <f t="shared" si="4"/>
        <v>340.13020513450437</v>
      </c>
      <c r="AC11" s="8">
        <f t="shared" si="4"/>
        <v>314.99196638240022</v>
      </c>
      <c r="AD11" s="8">
        <f t="shared" si="4"/>
        <v>322.63353400794159</v>
      </c>
      <c r="AE11" s="8">
        <f t="shared" si="4"/>
        <v>329.32562620423892</v>
      </c>
      <c r="AF11" s="8">
        <f t="shared" si="4"/>
        <v>326.23227988034853</v>
      </c>
      <c r="AG11" s="8" t="e">
        <f t="shared" si="4"/>
        <v>#DIV/0!</v>
      </c>
      <c r="AH11" s="8" t="e">
        <f t="shared" si="4"/>
        <v>#DIV/0!</v>
      </c>
      <c r="AI11" s="8" t="e">
        <f t="shared" si="4"/>
        <v>#DIV/0!</v>
      </c>
    </row>
    <row r="12" spans="1:35" s="3" customFormat="1" ht="24.95" customHeight="1">
      <c r="A12" s="56"/>
      <c r="B12" s="6" t="s">
        <v>45</v>
      </c>
      <c r="C12" s="8">
        <f>'1月'!C12+D12</f>
        <v>40312.219999999994</v>
      </c>
      <c r="D12" s="8">
        <f t="shared" ref="D12:D16" si="5">SUM(E12:AI12)</f>
        <v>17270.3</v>
      </c>
      <c r="E12" s="7">
        <v>522.36</v>
      </c>
      <c r="F12" s="7">
        <v>572.94000000000005</v>
      </c>
      <c r="G12" s="7">
        <v>509.34</v>
      </c>
      <c r="H12" s="7">
        <v>598.78</v>
      </c>
      <c r="I12" s="7">
        <v>622.5</v>
      </c>
      <c r="J12" s="7">
        <v>612.78</v>
      </c>
      <c r="K12" s="7">
        <v>546.32000000000005</v>
      </c>
      <c r="L12" s="7">
        <v>462.94</v>
      </c>
      <c r="M12" s="7">
        <v>443.9</v>
      </c>
      <c r="N12" s="7">
        <v>468.2</v>
      </c>
      <c r="O12" s="7">
        <v>449.68</v>
      </c>
      <c r="P12" s="7">
        <v>120.9</v>
      </c>
      <c r="Q12" s="7">
        <v>465.26</v>
      </c>
      <c r="R12" s="7">
        <v>355.86</v>
      </c>
      <c r="S12" s="7">
        <v>370.74</v>
      </c>
      <c r="T12" s="7">
        <v>337.16</v>
      </c>
      <c r="U12" s="7">
        <v>408.64</v>
      </c>
      <c r="V12" s="7">
        <v>398.42</v>
      </c>
      <c r="W12" s="7">
        <v>474.1</v>
      </c>
      <c r="X12" s="7">
        <v>585.62</v>
      </c>
      <c r="Y12" s="7">
        <v>474.92</v>
      </c>
      <c r="Z12" s="7">
        <v>601.64</v>
      </c>
      <c r="AA12" s="7">
        <v>557.66</v>
      </c>
      <c r="AB12" s="7">
        <v>1125.52</v>
      </c>
      <c r="AC12" s="7">
        <v>1372.3</v>
      </c>
      <c r="AD12" s="12">
        <v>1349.68</v>
      </c>
      <c r="AE12" s="7">
        <v>1546.36</v>
      </c>
      <c r="AF12" s="7">
        <v>915.78</v>
      </c>
      <c r="AG12" s="7"/>
      <c r="AH12" s="12"/>
      <c r="AI12" s="7"/>
    </row>
    <row r="13" spans="1:35" s="3" customFormat="1" ht="24.95" customHeight="1">
      <c r="A13" s="58" t="s">
        <v>46</v>
      </c>
      <c r="B13" s="6" t="s">
        <v>36</v>
      </c>
      <c r="C13" s="8">
        <f>'1月'!C13+D13</f>
        <v>44556</v>
      </c>
      <c r="D13" s="10">
        <f t="shared" si="5"/>
        <v>14535</v>
      </c>
      <c r="E13" s="7">
        <v>1031</v>
      </c>
      <c r="F13" s="7">
        <v>997</v>
      </c>
      <c r="G13" s="7">
        <v>972</v>
      </c>
      <c r="H13" s="7">
        <v>1006</v>
      </c>
      <c r="I13" s="7">
        <v>1078</v>
      </c>
      <c r="J13" s="7">
        <v>1024</v>
      </c>
      <c r="K13" s="7">
        <v>897</v>
      </c>
      <c r="L13" s="7">
        <v>0</v>
      </c>
      <c r="M13" s="20">
        <v>0</v>
      </c>
      <c r="N13" s="7">
        <v>0</v>
      </c>
      <c r="O13" s="7">
        <v>0</v>
      </c>
      <c r="P13" s="20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923</v>
      </c>
      <c r="Z13" s="7">
        <v>1002</v>
      </c>
      <c r="AA13" s="7">
        <v>1023</v>
      </c>
      <c r="AB13" s="7">
        <v>1010</v>
      </c>
      <c r="AC13" s="7">
        <v>923</v>
      </c>
      <c r="AD13" s="7">
        <v>912</v>
      </c>
      <c r="AE13" s="7">
        <v>894</v>
      </c>
      <c r="AF13" s="7">
        <v>843</v>
      </c>
      <c r="AG13" s="7"/>
      <c r="AH13" s="7"/>
      <c r="AI13" s="7"/>
    </row>
    <row r="14" spans="1:35" s="3" customFormat="1" ht="24.95" customHeight="1">
      <c r="A14" s="59"/>
      <c r="B14" s="6" t="s">
        <v>37</v>
      </c>
      <c r="C14" s="8">
        <f>'1月'!C14+D14</f>
        <v>56839</v>
      </c>
      <c r="D14" s="10">
        <f t="shared" si="5"/>
        <v>26372</v>
      </c>
      <c r="E14" s="7">
        <v>1004</v>
      </c>
      <c r="F14" s="7">
        <v>1029</v>
      </c>
      <c r="G14" s="7">
        <v>978</v>
      </c>
      <c r="H14" s="7">
        <v>907</v>
      </c>
      <c r="I14" s="7">
        <v>900</v>
      </c>
      <c r="J14" s="7">
        <v>913</v>
      </c>
      <c r="K14" s="7">
        <v>963</v>
      </c>
      <c r="L14" s="7">
        <v>960</v>
      </c>
      <c r="M14" s="20">
        <v>959</v>
      </c>
      <c r="N14" s="7">
        <v>957</v>
      </c>
      <c r="O14" s="7">
        <v>948</v>
      </c>
      <c r="P14" s="20">
        <v>993</v>
      </c>
      <c r="Q14" s="7">
        <v>990</v>
      </c>
      <c r="R14" s="7">
        <v>969</v>
      </c>
      <c r="S14" s="7">
        <v>993</v>
      </c>
      <c r="T14" s="7">
        <v>983</v>
      </c>
      <c r="U14" s="7">
        <v>966</v>
      </c>
      <c r="V14" s="7">
        <v>970</v>
      </c>
      <c r="W14" s="7">
        <v>939</v>
      </c>
      <c r="X14" s="7">
        <v>865</v>
      </c>
      <c r="Y14" s="7">
        <v>856</v>
      </c>
      <c r="Z14" s="7">
        <v>883</v>
      </c>
      <c r="AA14" s="7">
        <v>904</v>
      </c>
      <c r="AB14" s="7">
        <v>919</v>
      </c>
      <c r="AC14" s="7">
        <v>905</v>
      </c>
      <c r="AD14" s="7">
        <v>880</v>
      </c>
      <c r="AE14" s="7">
        <v>907</v>
      </c>
      <c r="AF14" s="7">
        <v>932</v>
      </c>
      <c r="AG14" s="7"/>
      <c r="AH14" s="7"/>
      <c r="AI14" s="7"/>
    </row>
    <row r="15" spans="1:35" s="3" customFormat="1" ht="24" customHeight="1">
      <c r="A15" s="60"/>
      <c r="B15" s="7" t="s">
        <v>38</v>
      </c>
      <c r="C15" s="8">
        <f>'1月'!C15+D15</f>
        <v>101395</v>
      </c>
      <c r="D15" s="7">
        <f t="shared" si="5"/>
        <v>40907</v>
      </c>
      <c r="E15" s="7">
        <f>SUM(E13:E14)</f>
        <v>2035</v>
      </c>
      <c r="F15" s="7">
        <f>SUM(F13:F14)</f>
        <v>2026</v>
      </c>
      <c r="G15" s="7">
        <f t="shared" ref="G15:AI15" si="6">SUM(G13:G14)</f>
        <v>1950</v>
      </c>
      <c r="H15" s="7">
        <f t="shared" si="6"/>
        <v>1913</v>
      </c>
      <c r="I15" s="7">
        <f t="shared" si="6"/>
        <v>1978</v>
      </c>
      <c r="J15" s="7">
        <f t="shared" si="6"/>
        <v>1937</v>
      </c>
      <c r="K15" s="7">
        <f t="shared" si="6"/>
        <v>1860</v>
      </c>
      <c r="L15" s="7">
        <f t="shared" si="6"/>
        <v>960</v>
      </c>
      <c r="M15" s="7">
        <f t="shared" si="6"/>
        <v>959</v>
      </c>
      <c r="N15" s="7">
        <f t="shared" si="6"/>
        <v>957</v>
      </c>
      <c r="O15" s="7">
        <f t="shared" si="6"/>
        <v>948</v>
      </c>
      <c r="P15" s="7">
        <f t="shared" si="6"/>
        <v>993</v>
      </c>
      <c r="Q15" s="7">
        <f t="shared" si="6"/>
        <v>990</v>
      </c>
      <c r="R15" s="7">
        <f t="shared" si="6"/>
        <v>969</v>
      </c>
      <c r="S15" s="7">
        <f t="shared" si="6"/>
        <v>993</v>
      </c>
      <c r="T15" s="7">
        <f t="shared" si="6"/>
        <v>983</v>
      </c>
      <c r="U15" s="7">
        <f t="shared" si="6"/>
        <v>966</v>
      </c>
      <c r="V15" s="7">
        <f t="shared" si="6"/>
        <v>970</v>
      </c>
      <c r="W15" s="7">
        <f t="shared" si="6"/>
        <v>939</v>
      </c>
      <c r="X15" s="7">
        <f t="shared" si="6"/>
        <v>865</v>
      </c>
      <c r="Y15" s="7">
        <f t="shared" si="6"/>
        <v>1779</v>
      </c>
      <c r="Z15" s="7">
        <f t="shared" si="6"/>
        <v>1885</v>
      </c>
      <c r="AA15" s="7">
        <f t="shared" si="6"/>
        <v>1927</v>
      </c>
      <c r="AB15" s="7">
        <f t="shared" si="6"/>
        <v>1929</v>
      </c>
      <c r="AC15" s="7">
        <f t="shared" si="6"/>
        <v>1828</v>
      </c>
      <c r="AD15" s="7">
        <f t="shared" si="6"/>
        <v>1792</v>
      </c>
      <c r="AE15" s="7">
        <f t="shared" si="6"/>
        <v>1801</v>
      </c>
      <c r="AF15" s="7">
        <f t="shared" si="6"/>
        <v>1775</v>
      </c>
      <c r="AG15" s="7">
        <f t="shared" si="6"/>
        <v>0</v>
      </c>
      <c r="AH15" s="7">
        <f t="shared" si="6"/>
        <v>0</v>
      </c>
      <c r="AI15" s="7">
        <f t="shared" si="6"/>
        <v>0</v>
      </c>
    </row>
    <row r="16" spans="1:35" s="3" customFormat="1" ht="24.95" customHeight="1">
      <c r="A16" s="56" t="s">
        <v>47</v>
      </c>
      <c r="B16" s="7" t="s">
        <v>38</v>
      </c>
      <c r="C16" s="8">
        <f>'1月'!C16+D16</f>
        <v>2662620</v>
      </c>
      <c r="D16" s="7">
        <f t="shared" si="5"/>
        <v>1139840</v>
      </c>
      <c r="E16" s="7">
        <v>51260</v>
      </c>
      <c r="F16" s="7">
        <v>51080</v>
      </c>
      <c r="G16" s="7">
        <v>45540</v>
      </c>
      <c r="H16" s="7">
        <v>45740</v>
      </c>
      <c r="I16" s="7">
        <v>51480</v>
      </c>
      <c r="J16" s="7">
        <v>50480</v>
      </c>
      <c r="K16" s="7">
        <v>48200</v>
      </c>
      <c r="L16" s="7">
        <v>35960</v>
      </c>
      <c r="M16" s="7">
        <v>35020</v>
      </c>
      <c r="N16" s="7">
        <v>33220</v>
      </c>
      <c r="O16" s="7">
        <v>29440</v>
      </c>
      <c r="P16" s="7">
        <v>29100</v>
      </c>
      <c r="Q16" s="7">
        <v>29300</v>
      </c>
      <c r="R16" s="7">
        <v>33340</v>
      </c>
      <c r="S16" s="7">
        <v>30300</v>
      </c>
      <c r="T16" s="7">
        <v>29400</v>
      </c>
      <c r="U16" s="7">
        <v>29820</v>
      </c>
      <c r="V16" s="7">
        <v>30080</v>
      </c>
      <c r="W16" s="7">
        <v>31660</v>
      </c>
      <c r="X16" s="7">
        <v>35700</v>
      </c>
      <c r="Y16" s="7">
        <v>47500</v>
      </c>
      <c r="Z16" s="7">
        <v>47220</v>
      </c>
      <c r="AA16" s="7">
        <v>49140</v>
      </c>
      <c r="AB16" s="7">
        <v>48300</v>
      </c>
      <c r="AC16" s="7">
        <v>48980</v>
      </c>
      <c r="AD16" s="7">
        <v>48600</v>
      </c>
      <c r="AE16" s="7">
        <v>46500</v>
      </c>
      <c r="AF16" s="7">
        <v>47480</v>
      </c>
      <c r="AG16" s="7"/>
      <c r="AH16" s="7"/>
      <c r="AI16" s="7"/>
    </row>
    <row r="17" spans="1:35" s="3" customFormat="1" ht="24.95" customHeight="1">
      <c r="A17" s="56"/>
      <c r="B17" s="6" t="s">
        <v>48</v>
      </c>
      <c r="C17" s="11">
        <f>SUM(C16/C8)</f>
        <v>0.15456983629397422</v>
      </c>
      <c r="D17" s="11">
        <f>SUM(D16/D8)</f>
        <v>0.16893726508495477</v>
      </c>
      <c r="E17" s="11">
        <f>SUM(E16/E8)</f>
        <v>0.15104903347477605</v>
      </c>
      <c r="F17" s="11">
        <f>SUM(F16/F8)</f>
        <v>0.15126747216299455</v>
      </c>
      <c r="G17" s="11">
        <f>SUM(G16/G8)</f>
        <v>0.1375997099347353</v>
      </c>
      <c r="H17" s="11">
        <f>SUM(H16/H8)</f>
        <v>0.13880796309783927</v>
      </c>
      <c r="I17" s="11">
        <f>SUM(I16/I8)</f>
        <v>0.15288667141838916</v>
      </c>
      <c r="J17" s="11">
        <f>SUM(J16/J8)</f>
        <v>0.1537524366471735</v>
      </c>
      <c r="K17" s="11">
        <f>SUM(K16/K8)</f>
        <v>0.15690104166666666</v>
      </c>
      <c r="L17" s="11">
        <f>SUM(L16/L8)</f>
        <v>0.23448095983307252</v>
      </c>
      <c r="M17" s="11">
        <f>SUM(M16/M8)</f>
        <v>0.22870950888192268</v>
      </c>
      <c r="N17" s="11">
        <f>SUM(N16/N8)</f>
        <v>0.21695402298850575</v>
      </c>
      <c r="O17" s="11">
        <f>SUM(O16/O8)</f>
        <v>0.1940928270042194</v>
      </c>
      <c r="P17" s="11">
        <f>SUM(P16/P8)</f>
        <v>0.18427051671732522</v>
      </c>
      <c r="Q17" s="11">
        <f>SUM(Q16/Q8)</f>
        <v>0.18927648578811371</v>
      </c>
      <c r="R17" s="11">
        <f>SUM(R16/R8)</f>
        <v>0.21876640419947507</v>
      </c>
      <c r="S17" s="11">
        <f>SUM(S16/S8)</f>
        <v>0.19573643410852712</v>
      </c>
      <c r="T17" s="11">
        <f>SUM(T16/T8)</f>
        <v>0.19200626959247649</v>
      </c>
      <c r="U17" s="11">
        <f>SUM(U16/U8)</f>
        <v>0.19848242811501599</v>
      </c>
      <c r="V17" s="11">
        <f>SUM(V16/V8)</f>
        <v>0.19431524547803616</v>
      </c>
      <c r="W17" s="11">
        <f>SUM(W16/W8)</f>
        <v>0.22096594081518706</v>
      </c>
      <c r="X17" s="11">
        <f>SUM(X16/X8)</f>
        <v>0.26420959147424511</v>
      </c>
      <c r="Y17" s="11">
        <f>SUM(Y16/Y8)</f>
        <v>0.16143284393692223</v>
      </c>
      <c r="Z17" s="11">
        <f>SUM(Z16/Z8)</f>
        <v>0.14737827715355806</v>
      </c>
      <c r="AA17" s="11">
        <f>SUM(AA16/AA8)</f>
        <v>0.15155440414507773</v>
      </c>
      <c r="AB17" s="11">
        <f>SUM(AB16/AB8)</f>
        <v>0.14852398523985239</v>
      </c>
      <c r="AC17" s="11">
        <f>SUM(AC16/AC8)</f>
        <v>0.16120326487625067</v>
      </c>
      <c r="AD17" s="11">
        <f>SUM(AD16/AD8)</f>
        <v>0.16174121405750799</v>
      </c>
      <c r="AE17" s="11">
        <f>SUM(AE16/AE8)</f>
        <v>0.15352614896988906</v>
      </c>
      <c r="AF17" s="11">
        <f>SUM(AF16/AF8)</f>
        <v>0.15915795119334941</v>
      </c>
      <c r="AG17" s="11" t="e">
        <f>SUM(AG16/AG8)</f>
        <v>#DIV/0!</v>
      </c>
      <c r="AH17" s="11" t="e">
        <f>SUM(AH16/AH8)</f>
        <v>#DIV/0!</v>
      </c>
      <c r="AI17" s="11" t="e">
        <f>SUM(AI16/AI8)</f>
        <v>#DIV/0!</v>
      </c>
    </row>
    <row r="18" spans="1:35" s="3" customFormat="1" ht="24.95" customHeight="1">
      <c r="A18" s="13"/>
      <c r="B18" s="13" t="s">
        <v>49</v>
      </c>
      <c r="C18" s="7"/>
      <c r="D18" s="7">
        <f>COUNT(E18:AI18)</f>
        <v>28</v>
      </c>
      <c r="E18" s="14">
        <v>6500</v>
      </c>
      <c r="F18" s="14">
        <v>6300</v>
      </c>
      <c r="G18" s="14">
        <v>6000</v>
      </c>
      <c r="H18" s="14">
        <v>5800</v>
      </c>
      <c r="I18" s="14">
        <v>5600</v>
      </c>
      <c r="J18" s="7">
        <v>5500</v>
      </c>
      <c r="K18" s="14">
        <v>5400</v>
      </c>
      <c r="L18" s="7">
        <v>5500</v>
      </c>
      <c r="M18" s="7">
        <v>5500</v>
      </c>
      <c r="N18" s="7">
        <v>5600</v>
      </c>
      <c r="O18" s="7">
        <v>5600</v>
      </c>
      <c r="P18" s="7">
        <v>5400</v>
      </c>
      <c r="Q18" s="7">
        <v>5400</v>
      </c>
      <c r="R18" s="7">
        <v>5300</v>
      </c>
      <c r="S18" s="7">
        <v>5300</v>
      </c>
      <c r="T18" s="7">
        <v>5100</v>
      </c>
      <c r="U18" s="7">
        <v>5100</v>
      </c>
      <c r="V18" s="7">
        <v>5100</v>
      </c>
      <c r="W18" s="7">
        <v>5200</v>
      </c>
      <c r="X18" s="7">
        <v>5300</v>
      </c>
      <c r="Y18" s="7">
        <v>4900</v>
      </c>
      <c r="Z18" s="7">
        <v>4700</v>
      </c>
      <c r="AA18" s="7">
        <v>4400</v>
      </c>
      <c r="AB18" s="7">
        <v>4500</v>
      </c>
      <c r="AC18" s="7">
        <v>5000</v>
      </c>
      <c r="AD18" s="7">
        <v>5500</v>
      </c>
      <c r="AE18" s="7">
        <v>6100</v>
      </c>
      <c r="AF18" s="7">
        <v>6200</v>
      </c>
      <c r="AG18" s="7"/>
      <c r="AH18" s="7"/>
      <c r="AI18" s="7"/>
    </row>
    <row r="19" spans="1:35" s="3" customFormat="1" ht="24.95" customHeight="1">
      <c r="A19" s="61" t="s">
        <v>50</v>
      </c>
      <c r="B19" s="13" t="s">
        <v>51</v>
      </c>
      <c r="C19" s="7">
        <f>'1月'!C19+D19</f>
        <v>7352.22</v>
      </c>
      <c r="D19" s="7">
        <f t="shared" ref="D19:D28" si="7">SUM(E19:AI19)</f>
        <v>2266.3000000000002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5">
        <v>0</v>
      </c>
      <c r="M19" s="15">
        <v>0</v>
      </c>
      <c r="N19" s="15">
        <v>0</v>
      </c>
      <c r="O19" s="15">
        <v>0</v>
      </c>
      <c r="P19" s="15">
        <v>0</v>
      </c>
      <c r="Q19" s="15">
        <v>0</v>
      </c>
      <c r="R19" s="15">
        <v>0</v>
      </c>
      <c r="S19" s="28">
        <v>0</v>
      </c>
      <c r="T19" s="28">
        <v>0</v>
      </c>
      <c r="U19" s="28">
        <v>0</v>
      </c>
      <c r="V19" s="15">
        <v>0</v>
      </c>
      <c r="W19" s="15">
        <v>0</v>
      </c>
      <c r="X19" s="15">
        <v>0</v>
      </c>
      <c r="Y19" s="15">
        <v>0</v>
      </c>
      <c r="Z19" s="15">
        <v>0</v>
      </c>
      <c r="AA19" s="15">
        <v>0</v>
      </c>
      <c r="AB19" s="15">
        <v>463.64</v>
      </c>
      <c r="AC19" s="15">
        <v>555.32000000000005</v>
      </c>
      <c r="AD19" s="15">
        <v>477.2</v>
      </c>
      <c r="AE19" s="15">
        <v>627.1</v>
      </c>
      <c r="AF19" s="15">
        <v>143.04</v>
      </c>
      <c r="AG19" s="15"/>
      <c r="AH19" s="15"/>
      <c r="AI19" s="15"/>
    </row>
    <row r="20" spans="1:35" s="3" customFormat="1" ht="24.95" customHeight="1">
      <c r="A20" s="62"/>
      <c r="B20" s="13" t="s">
        <v>52</v>
      </c>
      <c r="C20" s="7">
        <f>'1月'!C20+D20</f>
        <v>15339.64</v>
      </c>
      <c r="D20" s="7">
        <f t="shared" si="7"/>
        <v>7580.1399999999994</v>
      </c>
      <c r="E20" s="15">
        <v>293.18</v>
      </c>
      <c r="F20" s="15">
        <v>288.58</v>
      </c>
      <c r="G20" s="15">
        <v>302.18</v>
      </c>
      <c r="H20" s="15">
        <v>342.16</v>
      </c>
      <c r="I20" s="15">
        <v>296.66000000000003</v>
      </c>
      <c r="J20" s="15">
        <v>288.44</v>
      </c>
      <c r="K20" s="15">
        <v>290.58</v>
      </c>
      <c r="L20" s="15">
        <v>289.83999999999997</v>
      </c>
      <c r="M20" s="15">
        <v>284.76</v>
      </c>
      <c r="N20" s="15">
        <v>299.18</v>
      </c>
      <c r="O20" s="15">
        <v>284.7</v>
      </c>
      <c r="P20" s="15">
        <v>29.56</v>
      </c>
      <c r="Q20" s="15">
        <v>315.76</v>
      </c>
      <c r="R20" s="15">
        <v>209.44</v>
      </c>
      <c r="S20" s="28">
        <v>215.56</v>
      </c>
      <c r="T20" s="28">
        <v>143.62</v>
      </c>
      <c r="U20" s="28">
        <v>176.96</v>
      </c>
      <c r="V20" s="15">
        <v>206.16</v>
      </c>
      <c r="W20" s="15">
        <v>224.08</v>
      </c>
      <c r="X20" s="15">
        <v>253.36</v>
      </c>
      <c r="Y20" s="15">
        <v>229.58</v>
      </c>
      <c r="Z20" s="15">
        <v>291.7</v>
      </c>
      <c r="AA20" s="15">
        <v>280.04000000000002</v>
      </c>
      <c r="AB20" s="15">
        <v>290.64</v>
      </c>
      <c r="AC20" s="15">
        <v>370.16</v>
      </c>
      <c r="AD20" s="15">
        <v>381.42</v>
      </c>
      <c r="AE20" s="15">
        <v>405.82</v>
      </c>
      <c r="AF20" s="15">
        <v>296.02</v>
      </c>
      <c r="AG20" s="15"/>
      <c r="AH20" s="15"/>
      <c r="AI20" s="15"/>
    </row>
    <row r="21" spans="1:35" s="3" customFormat="1" ht="24.95" customHeight="1">
      <c r="A21" s="62"/>
      <c r="B21" s="13" t="s">
        <v>53</v>
      </c>
      <c r="C21" s="7">
        <f>'1月'!C21+D21</f>
        <v>0</v>
      </c>
      <c r="D21" s="7">
        <f t="shared" si="7"/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5">
        <v>0</v>
      </c>
      <c r="M21" s="15">
        <v>0</v>
      </c>
      <c r="N21" s="15">
        <v>0</v>
      </c>
      <c r="O21" s="15">
        <v>0</v>
      </c>
      <c r="P21" s="15">
        <v>0</v>
      </c>
      <c r="Q21" s="15">
        <v>0</v>
      </c>
      <c r="R21" s="15">
        <v>0</v>
      </c>
      <c r="S21" s="28">
        <v>0</v>
      </c>
      <c r="T21" s="28">
        <v>0</v>
      </c>
      <c r="U21" s="28">
        <v>0</v>
      </c>
      <c r="V21" s="15">
        <v>0</v>
      </c>
      <c r="W21" s="15">
        <v>0</v>
      </c>
      <c r="X21" s="15">
        <v>0</v>
      </c>
      <c r="Y21" s="15">
        <v>0</v>
      </c>
      <c r="Z21" s="15">
        <v>0</v>
      </c>
      <c r="AA21" s="15">
        <v>0</v>
      </c>
      <c r="AB21" s="15">
        <v>0</v>
      </c>
      <c r="AC21" s="15">
        <v>0</v>
      </c>
      <c r="AD21" s="15">
        <v>0</v>
      </c>
      <c r="AE21" s="15">
        <v>0</v>
      </c>
      <c r="AF21" s="15">
        <v>0</v>
      </c>
      <c r="AG21" s="15"/>
      <c r="AH21" s="15"/>
      <c r="AI21" s="15"/>
    </row>
    <row r="22" spans="1:35" s="3" customFormat="1" ht="24.95" customHeight="1">
      <c r="A22" s="62"/>
      <c r="B22" s="13" t="s">
        <v>54</v>
      </c>
      <c r="C22" s="7">
        <f>'1月'!C22+D22</f>
        <v>0</v>
      </c>
      <c r="D22" s="7">
        <f t="shared" si="7"/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15">
        <v>0</v>
      </c>
      <c r="Q22" s="15">
        <v>0</v>
      </c>
      <c r="R22" s="15">
        <v>0</v>
      </c>
      <c r="S22" s="28">
        <v>0</v>
      </c>
      <c r="T22" s="28">
        <v>0</v>
      </c>
      <c r="U22" s="28">
        <v>0</v>
      </c>
      <c r="V22" s="15">
        <v>0</v>
      </c>
      <c r="W22" s="15">
        <v>0</v>
      </c>
      <c r="X22" s="15">
        <v>0</v>
      </c>
      <c r="Y22" s="15">
        <v>0</v>
      </c>
      <c r="Z22" s="15">
        <v>0</v>
      </c>
      <c r="AA22" s="15">
        <v>0</v>
      </c>
      <c r="AB22" s="15">
        <v>0</v>
      </c>
      <c r="AC22" s="15">
        <v>0</v>
      </c>
      <c r="AD22" s="15">
        <v>0</v>
      </c>
      <c r="AE22" s="15">
        <v>0</v>
      </c>
      <c r="AF22" s="15">
        <v>0</v>
      </c>
      <c r="AG22" s="15"/>
      <c r="AH22" s="15"/>
      <c r="AI22" s="15"/>
    </row>
    <row r="23" spans="1:35" s="3" customFormat="1" ht="22.15" customHeight="1">
      <c r="A23" s="62"/>
      <c r="B23" s="13" t="s">
        <v>55</v>
      </c>
      <c r="C23" s="7">
        <f>'1月'!C23+D23</f>
        <v>0</v>
      </c>
      <c r="D23" s="7">
        <f t="shared" si="7"/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5">
        <v>0</v>
      </c>
      <c r="Q23" s="15">
        <v>0</v>
      </c>
      <c r="R23" s="15">
        <v>0</v>
      </c>
      <c r="S23" s="28">
        <v>0</v>
      </c>
      <c r="T23" s="28">
        <v>0</v>
      </c>
      <c r="U23" s="28">
        <v>0</v>
      </c>
      <c r="V23" s="15">
        <v>0</v>
      </c>
      <c r="W23" s="15">
        <v>0</v>
      </c>
      <c r="X23" s="15">
        <v>0</v>
      </c>
      <c r="Y23" s="15">
        <v>0</v>
      </c>
      <c r="Z23" s="15">
        <v>0</v>
      </c>
      <c r="AA23" s="15">
        <v>0</v>
      </c>
      <c r="AB23" s="15">
        <v>0</v>
      </c>
      <c r="AC23" s="15">
        <v>0</v>
      </c>
      <c r="AD23" s="15">
        <v>0</v>
      </c>
      <c r="AE23" s="15">
        <v>0</v>
      </c>
      <c r="AF23" s="15">
        <v>0</v>
      </c>
      <c r="AG23" s="15"/>
      <c r="AH23" s="15"/>
      <c r="AI23" s="15"/>
    </row>
    <row r="24" spans="1:35" s="3" customFormat="1" ht="22.15" customHeight="1">
      <c r="A24" s="62"/>
      <c r="B24" s="13" t="s">
        <v>56</v>
      </c>
      <c r="C24" s="7">
        <f>'1月'!C24+D24</f>
        <v>0</v>
      </c>
      <c r="D24" s="7">
        <f t="shared" si="7"/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5">
        <v>0</v>
      </c>
      <c r="M24" s="15">
        <v>0</v>
      </c>
      <c r="N24" s="15">
        <v>0</v>
      </c>
      <c r="O24" s="15">
        <v>0</v>
      </c>
      <c r="P24" s="15">
        <v>0</v>
      </c>
      <c r="Q24" s="15">
        <v>0</v>
      </c>
      <c r="R24" s="15">
        <v>0</v>
      </c>
      <c r="S24" s="28">
        <v>0</v>
      </c>
      <c r="T24" s="28">
        <v>0</v>
      </c>
      <c r="U24" s="28">
        <v>0</v>
      </c>
      <c r="V24" s="15">
        <v>0</v>
      </c>
      <c r="W24" s="15">
        <v>0</v>
      </c>
      <c r="X24" s="15">
        <v>0</v>
      </c>
      <c r="Y24" s="15">
        <v>0</v>
      </c>
      <c r="Z24" s="15">
        <v>0</v>
      </c>
      <c r="AA24" s="15">
        <v>0</v>
      </c>
      <c r="AB24" s="15">
        <v>0</v>
      </c>
      <c r="AC24" s="15">
        <v>0</v>
      </c>
      <c r="AD24" s="15">
        <v>0</v>
      </c>
      <c r="AE24" s="15">
        <v>0</v>
      </c>
      <c r="AF24" s="15">
        <v>0</v>
      </c>
      <c r="AG24" s="15"/>
      <c r="AH24" s="15"/>
      <c r="AI24" s="15"/>
    </row>
    <row r="25" spans="1:35" s="3" customFormat="1" ht="21.75" customHeight="1">
      <c r="A25" s="62"/>
      <c r="B25" s="13" t="s">
        <v>57</v>
      </c>
      <c r="C25" s="7">
        <f>'1月'!C25+D25</f>
        <v>15848.080000000002</v>
      </c>
      <c r="D25" s="7">
        <f t="shared" si="7"/>
        <v>5651.5800000000008</v>
      </c>
      <c r="E25" s="15">
        <v>229.18</v>
      </c>
      <c r="F25" s="15">
        <v>284.36</v>
      </c>
      <c r="G25" s="15">
        <v>207.16</v>
      </c>
      <c r="H25" s="15">
        <v>256.62</v>
      </c>
      <c r="I25" s="15">
        <v>239.44</v>
      </c>
      <c r="J25" s="15">
        <v>241.74</v>
      </c>
      <c r="K25" s="15">
        <v>170.6</v>
      </c>
      <c r="L25" s="15">
        <v>100.22</v>
      </c>
      <c r="M25" s="15">
        <v>80.819999999999993</v>
      </c>
      <c r="N25" s="15">
        <v>98.38</v>
      </c>
      <c r="O25" s="15">
        <v>90.2</v>
      </c>
      <c r="P25" s="15">
        <v>70.22</v>
      </c>
      <c r="Q25" s="15">
        <v>61.4</v>
      </c>
      <c r="R25" s="15">
        <v>78.959999999999994</v>
      </c>
      <c r="S25" s="28">
        <v>94.88</v>
      </c>
      <c r="T25" s="28">
        <v>132.74</v>
      </c>
      <c r="U25" s="28">
        <v>160.1</v>
      </c>
      <c r="V25" s="15">
        <v>140.66</v>
      </c>
      <c r="W25" s="15">
        <v>175.52</v>
      </c>
      <c r="X25" s="15">
        <v>251.36</v>
      </c>
      <c r="Y25" s="15">
        <v>178.24</v>
      </c>
      <c r="Z25" s="15">
        <v>230.94</v>
      </c>
      <c r="AA25" s="15">
        <v>204.7</v>
      </c>
      <c r="AB25" s="15">
        <v>295.54000000000002</v>
      </c>
      <c r="AC25" s="15">
        <v>351.58</v>
      </c>
      <c r="AD25" s="15">
        <v>405.48</v>
      </c>
      <c r="AE25" s="15">
        <v>427.92</v>
      </c>
      <c r="AF25" s="15">
        <v>392.62</v>
      </c>
      <c r="AG25" s="15"/>
      <c r="AH25" s="15"/>
      <c r="AI25" s="15"/>
    </row>
    <row r="26" spans="1:35" s="3" customFormat="1" ht="18" customHeight="1">
      <c r="A26" s="62"/>
      <c r="B26" s="13" t="s">
        <v>58</v>
      </c>
      <c r="C26" s="7">
        <f>'1月'!C26+D26</f>
        <v>1772.28</v>
      </c>
      <c r="D26" s="7">
        <f t="shared" si="7"/>
        <v>1772.28</v>
      </c>
      <c r="E26" s="15">
        <v>0</v>
      </c>
      <c r="F26" s="15">
        <v>0</v>
      </c>
      <c r="G26" s="15">
        <v>0</v>
      </c>
      <c r="H26" s="15">
        <v>0</v>
      </c>
      <c r="I26" s="15">
        <v>86.4</v>
      </c>
      <c r="J26" s="15">
        <v>82.6</v>
      </c>
      <c r="K26" s="15">
        <v>85.14</v>
      </c>
      <c r="L26" s="15">
        <v>72.88</v>
      </c>
      <c r="M26" s="15">
        <v>78.319999999999993</v>
      </c>
      <c r="N26" s="15">
        <v>70.64</v>
      </c>
      <c r="O26" s="15">
        <v>74.78</v>
      </c>
      <c r="P26" s="15">
        <v>21.12</v>
      </c>
      <c r="Q26" s="15">
        <v>88.1</v>
      </c>
      <c r="R26" s="15">
        <v>67.459999999999994</v>
      </c>
      <c r="S26" s="15">
        <v>60.3</v>
      </c>
      <c r="T26" s="28">
        <v>60.8</v>
      </c>
      <c r="U26" s="28">
        <v>71.58</v>
      </c>
      <c r="V26" s="15">
        <v>51.6</v>
      </c>
      <c r="W26" s="15">
        <v>74.5</v>
      </c>
      <c r="X26" s="15">
        <v>80.900000000000006</v>
      </c>
      <c r="Y26" s="15">
        <v>67.099999999999994</v>
      </c>
      <c r="Z26" s="15">
        <v>79</v>
      </c>
      <c r="AA26" s="15">
        <v>72.92</v>
      </c>
      <c r="AB26" s="15">
        <v>75.7</v>
      </c>
      <c r="AC26" s="15">
        <v>95.24</v>
      </c>
      <c r="AD26" s="15">
        <v>85.58</v>
      </c>
      <c r="AE26" s="15">
        <v>85.52</v>
      </c>
      <c r="AF26" s="15">
        <v>84.1</v>
      </c>
      <c r="AG26" s="15"/>
      <c r="AH26" s="15"/>
      <c r="AI26" s="15"/>
    </row>
    <row r="27" spans="1:35" s="3" customFormat="1" ht="18" customHeight="1">
      <c r="A27" s="62"/>
      <c r="B27" s="16" t="s">
        <v>59</v>
      </c>
      <c r="C27" s="7">
        <f>'1月'!C27+D27</f>
        <v>0</v>
      </c>
      <c r="D27" s="7">
        <f t="shared" si="7"/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5">
        <v>0</v>
      </c>
      <c r="M27" s="15">
        <v>0</v>
      </c>
      <c r="N27" s="15">
        <v>0</v>
      </c>
      <c r="O27" s="15">
        <v>0</v>
      </c>
      <c r="P27" s="15">
        <v>0</v>
      </c>
      <c r="Q27" s="15">
        <v>0</v>
      </c>
      <c r="R27" s="15">
        <v>0</v>
      </c>
      <c r="S27" s="15">
        <v>0</v>
      </c>
      <c r="T27" s="28">
        <v>0</v>
      </c>
      <c r="U27" s="28">
        <v>0</v>
      </c>
      <c r="V27" s="15">
        <v>0</v>
      </c>
      <c r="W27" s="15">
        <v>0</v>
      </c>
      <c r="X27" s="15">
        <v>0</v>
      </c>
      <c r="Y27" s="15">
        <v>0</v>
      </c>
      <c r="Z27" s="15">
        <v>0</v>
      </c>
      <c r="AA27" s="15">
        <v>0</v>
      </c>
      <c r="AB27" s="15">
        <v>0</v>
      </c>
      <c r="AC27" s="15">
        <v>0</v>
      </c>
      <c r="AD27" s="15">
        <v>0</v>
      </c>
      <c r="AE27" s="15">
        <v>0</v>
      </c>
      <c r="AF27" s="15">
        <v>0</v>
      </c>
      <c r="AG27" s="15"/>
      <c r="AH27" s="15"/>
      <c r="AI27" s="15"/>
    </row>
    <row r="28" spans="1:35" s="3" customFormat="1" ht="18" customHeight="1">
      <c r="A28" s="62"/>
      <c r="B28" s="16" t="s">
        <v>60</v>
      </c>
      <c r="C28" s="7">
        <f>'1月'!C28+D28</f>
        <v>0</v>
      </c>
      <c r="D28" s="7">
        <f t="shared" si="7"/>
        <v>0</v>
      </c>
      <c r="E28" s="15">
        <v>0</v>
      </c>
      <c r="F28" s="15">
        <v>0</v>
      </c>
      <c r="G28" s="15">
        <v>0</v>
      </c>
      <c r="H28" s="15">
        <v>0</v>
      </c>
      <c r="I28" s="15">
        <v>0</v>
      </c>
      <c r="J28" s="15">
        <v>0</v>
      </c>
      <c r="K28" s="15">
        <v>0</v>
      </c>
      <c r="L28" s="15">
        <v>0</v>
      </c>
      <c r="M28" s="15">
        <v>0</v>
      </c>
      <c r="N28" s="15">
        <v>0</v>
      </c>
      <c r="O28" s="15">
        <v>0</v>
      </c>
      <c r="P28" s="15">
        <v>0</v>
      </c>
      <c r="Q28" s="15">
        <v>0</v>
      </c>
      <c r="R28" s="15">
        <v>0</v>
      </c>
      <c r="S28" s="15">
        <v>0</v>
      </c>
      <c r="T28" s="28">
        <v>0</v>
      </c>
      <c r="U28" s="28">
        <v>0</v>
      </c>
      <c r="V28" s="15">
        <v>0</v>
      </c>
      <c r="W28" s="15">
        <v>0</v>
      </c>
      <c r="X28" s="15">
        <v>0</v>
      </c>
      <c r="Y28" s="15">
        <v>0</v>
      </c>
      <c r="Z28" s="15">
        <v>0</v>
      </c>
      <c r="AA28" s="15">
        <v>0</v>
      </c>
      <c r="AB28" s="15">
        <v>0</v>
      </c>
      <c r="AC28" s="15">
        <v>0</v>
      </c>
      <c r="AD28" s="15">
        <v>0</v>
      </c>
      <c r="AE28" s="15">
        <v>0</v>
      </c>
      <c r="AF28" s="15">
        <v>0</v>
      </c>
      <c r="AG28" s="15">
        <v>0</v>
      </c>
      <c r="AH28" s="15">
        <v>0</v>
      </c>
      <c r="AI28" s="15">
        <v>0</v>
      </c>
    </row>
    <row r="29" spans="1:35" s="3" customFormat="1" ht="18" hidden="1" customHeight="1">
      <c r="A29" s="63"/>
      <c r="B29" s="16"/>
      <c r="C29" s="7"/>
      <c r="D29" s="7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</row>
    <row r="30" spans="1:35" s="3" customFormat="1" ht="26.1" customHeight="1">
      <c r="A30" s="12"/>
      <c r="B30" s="12" t="s">
        <v>61</v>
      </c>
      <c r="C30" s="7">
        <f>SUM(C19:C29)</f>
        <v>40312.22</v>
      </c>
      <c r="D30" s="7">
        <f>SUM(D19:D29)</f>
        <v>17270.3</v>
      </c>
      <c r="E30" s="7">
        <f>SUM(E19:E29)</f>
        <v>522.36</v>
      </c>
      <c r="F30" s="7">
        <f t="shared" ref="F30:AI30" si="8">SUM(F19:F29)</f>
        <v>572.94000000000005</v>
      </c>
      <c r="G30" s="7">
        <f t="shared" si="8"/>
        <v>509.34000000000003</v>
      </c>
      <c r="H30" s="7">
        <f t="shared" si="8"/>
        <v>598.78</v>
      </c>
      <c r="I30" s="7">
        <f t="shared" si="8"/>
        <v>622.5</v>
      </c>
      <c r="J30" s="7">
        <f t="shared" si="8"/>
        <v>612.78000000000009</v>
      </c>
      <c r="K30" s="7">
        <f t="shared" si="8"/>
        <v>546.31999999999994</v>
      </c>
      <c r="L30" s="7">
        <f t="shared" si="8"/>
        <v>462.93999999999994</v>
      </c>
      <c r="M30" s="7">
        <f t="shared" si="8"/>
        <v>443.9</v>
      </c>
      <c r="N30" s="7">
        <f t="shared" si="8"/>
        <v>468.2</v>
      </c>
      <c r="O30" s="7">
        <f t="shared" si="8"/>
        <v>449.67999999999995</v>
      </c>
      <c r="P30" s="7">
        <f t="shared" si="8"/>
        <v>120.9</v>
      </c>
      <c r="Q30" s="7">
        <f t="shared" si="8"/>
        <v>465.26</v>
      </c>
      <c r="R30" s="7">
        <f t="shared" si="8"/>
        <v>355.85999999999996</v>
      </c>
      <c r="S30" s="7">
        <f t="shared" si="8"/>
        <v>370.74</v>
      </c>
      <c r="T30" s="7">
        <f t="shared" si="8"/>
        <v>337.16</v>
      </c>
      <c r="U30" s="7">
        <f t="shared" si="8"/>
        <v>408.64</v>
      </c>
      <c r="V30" s="7">
        <f t="shared" si="8"/>
        <v>398.42</v>
      </c>
      <c r="W30" s="7">
        <f t="shared" si="8"/>
        <v>474.1</v>
      </c>
      <c r="X30" s="7">
        <f t="shared" si="8"/>
        <v>585.62</v>
      </c>
      <c r="Y30" s="7">
        <f t="shared" si="8"/>
        <v>474.92000000000007</v>
      </c>
      <c r="Z30" s="7">
        <f t="shared" si="8"/>
        <v>601.64</v>
      </c>
      <c r="AA30" s="7">
        <f t="shared" si="8"/>
        <v>557.66</v>
      </c>
      <c r="AB30" s="7">
        <f t="shared" si="8"/>
        <v>1125.52</v>
      </c>
      <c r="AC30" s="7">
        <f t="shared" si="8"/>
        <v>1372.3</v>
      </c>
      <c r="AD30" s="7">
        <f t="shared" si="8"/>
        <v>1349.6799999999998</v>
      </c>
      <c r="AE30" s="7">
        <f t="shared" si="8"/>
        <v>1546.3600000000001</v>
      </c>
      <c r="AF30" s="7">
        <f t="shared" si="8"/>
        <v>915.78</v>
      </c>
      <c r="AG30" s="7">
        <f t="shared" si="8"/>
        <v>0</v>
      </c>
      <c r="AH30" s="7">
        <f t="shared" si="8"/>
        <v>0</v>
      </c>
      <c r="AI30" s="7">
        <f t="shared" si="8"/>
        <v>0</v>
      </c>
    </row>
    <row r="31" spans="1:35" s="3" customFormat="1" ht="24.95" customHeight="1">
      <c r="A31" s="57" t="s">
        <v>62</v>
      </c>
      <c r="B31" s="7" t="s">
        <v>63</v>
      </c>
      <c r="C31" s="7">
        <f>'1月'!C31+D31</f>
        <v>8441.18</v>
      </c>
      <c r="D31" s="7">
        <f t="shared" ref="D31:D37" si="9">SUM(E31:AI31)</f>
        <v>3622.08</v>
      </c>
      <c r="E31" s="7">
        <v>148.26</v>
      </c>
      <c r="F31" s="7">
        <v>146.26</v>
      </c>
      <c r="G31" s="7">
        <v>137.86000000000001</v>
      </c>
      <c r="H31" s="29">
        <v>123.2</v>
      </c>
      <c r="I31" s="7">
        <v>199.18</v>
      </c>
      <c r="J31" s="7">
        <v>178.32</v>
      </c>
      <c r="K31" s="7">
        <v>191.8</v>
      </c>
      <c r="L31" s="7">
        <v>184.28</v>
      </c>
      <c r="M31" s="7">
        <v>121.64</v>
      </c>
      <c r="N31" s="7">
        <v>112.72</v>
      </c>
      <c r="O31" s="7">
        <v>96.36</v>
      </c>
      <c r="P31" s="7">
        <v>0</v>
      </c>
      <c r="Q31" s="7">
        <v>122.12</v>
      </c>
      <c r="R31" s="7">
        <v>41.24</v>
      </c>
      <c r="S31" s="7">
        <v>96.88</v>
      </c>
      <c r="T31" s="7">
        <v>0</v>
      </c>
      <c r="U31" s="29">
        <v>0</v>
      </c>
      <c r="V31" s="7">
        <v>0</v>
      </c>
      <c r="W31" s="7">
        <v>0</v>
      </c>
      <c r="X31" s="7">
        <v>101.52</v>
      </c>
      <c r="Y31" s="7">
        <v>228.3</v>
      </c>
      <c r="Z31" s="7">
        <v>130.1</v>
      </c>
      <c r="AA31" s="7">
        <v>227</v>
      </c>
      <c r="AB31" s="29">
        <v>222.16</v>
      </c>
      <c r="AC31" s="29">
        <v>236.96</v>
      </c>
      <c r="AD31" s="29">
        <v>205.86</v>
      </c>
      <c r="AE31" s="29">
        <v>192.84</v>
      </c>
      <c r="AF31" s="29">
        <v>177.22</v>
      </c>
      <c r="AG31" s="29"/>
      <c r="AH31" s="29"/>
      <c r="AI31" s="7"/>
    </row>
    <row r="32" spans="1:35" s="3" customFormat="1" ht="24.95" customHeight="1">
      <c r="A32" s="57"/>
      <c r="B32" s="7" t="s">
        <v>64</v>
      </c>
      <c r="C32" s="7">
        <f>'1月'!C32+D32</f>
        <v>1028.18</v>
      </c>
      <c r="D32" s="7">
        <f t="shared" si="9"/>
        <v>452.44</v>
      </c>
      <c r="E32" s="7">
        <v>0</v>
      </c>
      <c r="F32" s="7">
        <v>22.32</v>
      </c>
      <c r="G32" s="7">
        <v>11.54</v>
      </c>
      <c r="H32" s="20">
        <v>10.6</v>
      </c>
      <c r="I32" s="7">
        <v>10.82</v>
      </c>
      <c r="J32" s="7">
        <v>12.52</v>
      </c>
      <c r="K32" s="7">
        <v>63.28</v>
      </c>
      <c r="L32" s="7">
        <v>20.440000000000001</v>
      </c>
      <c r="M32" s="7">
        <v>0</v>
      </c>
      <c r="N32" s="7">
        <v>0</v>
      </c>
      <c r="O32" s="7">
        <v>14.56</v>
      </c>
      <c r="P32" s="7">
        <v>0</v>
      </c>
      <c r="Q32" s="7">
        <v>21.8</v>
      </c>
      <c r="R32" s="7">
        <v>19.88</v>
      </c>
      <c r="S32" s="7">
        <v>0</v>
      </c>
      <c r="T32" s="7">
        <v>21.64</v>
      </c>
      <c r="U32" s="7">
        <v>0</v>
      </c>
      <c r="V32" s="7">
        <v>0</v>
      </c>
      <c r="W32" s="7">
        <v>22.14</v>
      </c>
      <c r="X32" s="7">
        <v>22.32</v>
      </c>
      <c r="Y32" s="7">
        <v>12.68</v>
      </c>
      <c r="Z32" s="7">
        <v>22.76</v>
      </c>
      <c r="AA32" s="7">
        <v>23.16</v>
      </c>
      <c r="AB32" s="20">
        <v>33.1</v>
      </c>
      <c r="AC32" s="20">
        <v>21.22</v>
      </c>
      <c r="AD32" s="20">
        <v>21.94</v>
      </c>
      <c r="AE32" s="20">
        <v>21.92</v>
      </c>
      <c r="AF32" s="20">
        <v>21.8</v>
      </c>
      <c r="AG32" s="20"/>
      <c r="AH32" s="20"/>
      <c r="AI32" s="7"/>
    </row>
    <row r="33" spans="1:35" s="3" customFormat="1" ht="24.95" customHeight="1">
      <c r="A33" s="57"/>
      <c r="B33" s="6" t="s">
        <v>65</v>
      </c>
      <c r="C33" s="7">
        <f>'1月'!C33+D33</f>
        <v>1139</v>
      </c>
      <c r="D33" s="7">
        <f t="shared" si="9"/>
        <v>515</v>
      </c>
      <c r="E33" s="7">
        <v>135</v>
      </c>
      <c r="F33" s="7">
        <v>0</v>
      </c>
      <c r="G33" s="7">
        <v>0</v>
      </c>
      <c r="H33" s="7">
        <v>0</v>
      </c>
      <c r="I33" s="7">
        <v>37</v>
      </c>
      <c r="J33" s="7">
        <v>0</v>
      </c>
      <c r="K33" s="7">
        <v>0</v>
      </c>
      <c r="L33" s="7">
        <v>0</v>
      </c>
      <c r="M33" s="7">
        <v>0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198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145</v>
      </c>
      <c r="AC33" s="7">
        <v>0</v>
      </c>
      <c r="AD33" s="7">
        <v>0</v>
      </c>
      <c r="AE33" s="7">
        <v>0</v>
      </c>
      <c r="AF33" s="7">
        <v>0</v>
      </c>
      <c r="AG33" s="7"/>
      <c r="AH33" s="7"/>
      <c r="AI33" s="7"/>
    </row>
    <row r="34" spans="1:35" s="3" customFormat="1" ht="24.95" customHeight="1">
      <c r="A34" s="57"/>
      <c r="B34" s="7" t="s">
        <v>66</v>
      </c>
      <c r="C34" s="7">
        <f>'1月'!C34+D34</f>
        <v>9465</v>
      </c>
      <c r="D34" s="7">
        <f t="shared" si="9"/>
        <v>3495</v>
      </c>
      <c r="E34" s="7">
        <v>182</v>
      </c>
      <c r="F34" s="7">
        <v>192</v>
      </c>
      <c r="G34" s="7">
        <v>170</v>
      </c>
      <c r="H34" s="7">
        <v>118</v>
      </c>
      <c r="I34" s="7">
        <v>119</v>
      </c>
      <c r="J34" s="7">
        <v>116</v>
      </c>
      <c r="K34" s="7">
        <v>140</v>
      </c>
      <c r="L34" s="7">
        <v>126</v>
      </c>
      <c r="M34" s="7">
        <v>120</v>
      </c>
      <c r="N34" s="7">
        <v>122</v>
      </c>
      <c r="O34" s="7">
        <v>134</v>
      </c>
      <c r="P34" s="7">
        <v>126</v>
      </c>
      <c r="Q34" s="7">
        <v>122</v>
      </c>
      <c r="R34" s="7">
        <v>126</v>
      </c>
      <c r="S34" s="7">
        <v>125</v>
      </c>
      <c r="T34" s="7">
        <v>129</v>
      </c>
      <c r="U34" s="7">
        <v>123</v>
      </c>
      <c r="V34" s="7">
        <v>125</v>
      </c>
      <c r="W34" s="7">
        <v>121</v>
      </c>
      <c r="X34" s="7">
        <v>121</v>
      </c>
      <c r="Y34" s="7">
        <v>126</v>
      </c>
      <c r="Z34" s="7">
        <v>121</v>
      </c>
      <c r="AA34" s="7">
        <v>125</v>
      </c>
      <c r="AB34" s="7">
        <v>126</v>
      </c>
      <c r="AC34" s="7">
        <v>124</v>
      </c>
      <c r="AD34" s="7">
        <v>125</v>
      </c>
      <c r="AE34" s="7">
        <v>88</v>
      </c>
      <c r="AF34" s="7">
        <v>3</v>
      </c>
      <c r="AG34" s="7"/>
      <c r="AH34" s="7"/>
      <c r="AI34" s="7"/>
    </row>
    <row r="35" spans="1:35" s="3" customFormat="1" ht="24.95" customHeight="1">
      <c r="A35" s="58" t="s">
        <v>67</v>
      </c>
      <c r="B35" s="7" t="s">
        <v>68</v>
      </c>
      <c r="C35" s="7">
        <f>'1月'!C35+D35</f>
        <v>92.347000000000008</v>
      </c>
      <c r="D35" s="7">
        <f t="shared" si="9"/>
        <v>36.672000000000011</v>
      </c>
      <c r="E35" s="46">
        <v>1.7709999999999999</v>
      </c>
      <c r="F35" s="46">
        <v>1.8240000000000001</v>
      </c>
      <c r="G35" s="46">
        <v>1.837</v>
      </c>
      <c r="H35" s="47">
        <v>1.744</v>
      </c>
      <c r="I35" s="47">
        <v>1.78</v>
      </c>
      <c r="J35" s="47">
        <v>1.7410000000000001</v>
      </c>
      <c r="K35" s="47">
        <v>1.657</v>
      </c>
      <c r="L35" s="47">
        <v>0.86199999999999999</v>
      </c>
      <c r="M35" s="47">
        <v>0.86899999999999999</v>
      </c>
      <c r="N35" s="47">
        <v>0.89200000000000002</v>
      </c>
      <c r="O35" s="47">
        <v>0.88100000000000001</v>
      </c>
      <c r="P35" s="47">
        <v>0.92100000000000004</v>
      </c>
      <c r="Q35" s="47">
        <v>0.94199999999999995</v>
      </c>
      <c r="R35" s="47">
        <v>0.93600000000000005</v>
      </c>
      <c r="S35" s="47">
        <v>0.94299999999999995</v>
      </c>
      <c r="T35" s="51">
        <v>0.91800000000000004</v>
      </c>
      <c r="U35" s="47">
        <v>0.88400000000000001</v>
      </c>
      <c r="V35" s="47">
        <v>0.81599999999999995</v>
      </c>
      <c r="W35" s="47">
        <v>0.92100000000000004</v>
      </c>
      <c r="X35" s="47">
        <v>0.83399999999999996</v>
      </c>
      <c r="Y35" s="47">
        <v>1.518</v>
      </c>
      <c r="Z35" s="47">
        <v>1.6120000000000001</v>
      </c>
      <c r="AA35" s="47">
        <v>1.63</v>
      </c>
      <c r="AB35" s="47">
        <v>1.6579999999999999</v>
      </c>
      <c r="AC35" s="47">
        <v>1.6319999999999999</v>
      </c>
      <c r="AD35" s="47">
        <v>1.581</v>
      </c>
      <c r="AE35" s="47">
        <v>1.603</v>
      </c>
      <c r="AF35" s="50">
        <v>1.4650000000000001</v>
      </c>
      <c r="AG35" s="7"/>
      <c r="AH35" s="7"/>
      <c r="AI35" s="7"/>
    </row>
    <row r="36" spans="1:35" s="3" customFormat="1" ht="24.95" customHeight="1">
      <c r="A36" s="59"/>
      <c r="B36" s="7" t="s">
        <v>69</v>
      </c>
      <c r="C36" s="7">
        <f>'1月'!C36+D36</f>
        <v>315.25099999999998</v>
      </c>
      <c r="D36" s="7">
        <f t="shared" si="9"/>
        <v>128.99799999999999</v>
      </c>
      <c r="E36" s="48">
        <v>6</v>
      </c>
      <c r="F36" s="48">
        <v>6</v>
      </c>
      <c r="G36" s="48">
        <v>6</v>
      </c>
      <c r="H36" s="48">
        <v>6</v>
      </c>
      <c r="I36" s="48">
        <v>6</v>
      </c>
      <c r="J36" s="48">
        <v>6</v>
      </c>
      <c r="K36" s="48">
        <v>5.9980000000000002</v>
      </c>
      <c r="L36" s="48">
        <v>3</v>
      </c>
      <c r="M36" s="48">
        <v>3</v>
      </c>
      <c r="N36" s="48">
        <v>3</v>
      </c>
      <c r="O36" s="48">
        <v>3</v>
      </c>
      <c r="P36" s="48">
        <v>3</v>
      </c>
      <c r="Q36" s="48">
        <v>3</v>
      </c>
      <c r="R36" s="48">
        <v>3</v>
      </c>
      <c r="S36" s="48">
        <v>3</v>
      </c>
      <c r="T36" s="48">
        <v>3</v>
      </c>
      <c r="U36" s="48">
        <v>3</v>
      </c>
      <c r="V36" s="48">
        <v>3</v>
      </c>
      <c r="W36" s="48">
        <v>3</v>
      </c>
      <c r="X36" s="48">
        <v>3</v>
      </c>
      <c r="Y36" s="48">
        <v>6</v>
      </c>
      <c r="Z36" s="48">
        <v>6</v>
      </c>
      <c r="AA36" s="48">
        <v>6</v>
      </c>
      <c r="AB36" s="48">
        <v>6</v>
      </c>
      <c r="AC36" s="48">
        <v>6</v>
      </c>
      <c r="AD36" s="48">
        <v>6</v>
      </c>
      <c r="AE36" s="48">
        <v>6</v>
      </c>
      <c r="AF36" s="48">
        <v>6</v>
      </c>
      <c r="AG36" s="7"/>
      <c r="AH36" s="7"/>
      <c r="AI36" s="7"/>
    </row>
    <row r="37" spans="1:35" s="3" customFormat="1" ht="24.95" customHeight="1">
      <c r="A37" s="60"/>
      <c r="B37" s="7" t="s">
        <v>70</v>
      </c>
      <c r="C37" s="7">
        <f>'1月'!C37+D37</f>
        <v>15.626999999999999</v>
      </c>
      <c r="D37" s="7">
        <f t="shared" si="9"/>
        <v>6.392999999999998</v>
      </c>
      <c r="E37" s="7">
        <v>0.3</v>
      </c>
      <c r="F37" s="7">
        <v>0.3</v>
      </c>
      <c r="G37" s="7">
        <v>0.3</v>
      </c>
      <c r="H37" s="7">
        <v>0.3</v>
      </c>
      <c r="I37" s="7">
        <v>0.3</v>
      </c>
      <c r="J37" s="7">
        <v>0.3</v>
      </c>
      <c r="K37" s="7">
        <v>0.24299999999999999</v>
      </c>
      <c r="L37" s="7">
        <v>0.15</v>
      </c>
      <c r="M37" s="7">
        <v>0.15</v>
      </c>
      <c r="N37" s="7">
        <v>0.15</v>
      </c>
      <c r="O37" s="7">
        <v>0.15</v>
      </c>
      <c r="P37" s="7">
        <v>0.15</v>
      </c>
      <c r="Q37" s="7">
        <v>0.15</v>
      </c>
      <c r="R37" s="7">
        <v>0.15</v>
      </c>
      <c r="S37" s="7">
        <v>0.15</v>
      </c>
      <c r="T37" s="7">
        <v>0.15</v>
      </c>
      <c r="U37" s="7">
        <v>0.15</v>
      </c>
      <c r="V37" s="7">
        <v>0.15</v>
      </c>
      <c r="W37" s="7">
        <v>0.15</v>
      </c>
      <c r="X37" s="7">
        <v>0.15</v>
      </c>
      <c r="Y37" s="7">
        <v>0.3</v>
      </c>
      <c r="Z37" s="7">
        <v>0.3</v>
      </c>
      <c r="AA37" s="7">
        <v>0.3</v>
      </c>
      <c r="AB37" s="7">
        <v>0.3</v>
      </c>
      <c r="AC37" s="7">
        <v>0.3</v>
      </c>
      <c r="AD37" s="7">
        <v>0.3</v>
      </c>
      <c r="AE37" s="7">
        <v>0.3</v>
      </c>
      <c r="AF37" s="7">
        <v>0.3</v>
      </c>
      <c r="AG37" s="7"/>
      <c r="AH37" s="7"/>
      <c r="AI37" s="7"/>
    </row>
    <row r="38" spans="1:35" s="1" customFormat="1" ht="18" customHeight="1">
      <c r="B38" s="22" t="s">
        <v>71</v>
      </c>
      <c r="C38" s="23">
        <f>C31/C5</f>
        <v>0.20994356690020863</v>
      </c>
      <c r="D38" s="23">
        <f>D31/D5</f>
        <v>0.22064865128292596</v>
      </c>
      <c r="G38" s="24"/>
    </row>
    <row r="39" spans="1:35" s="1" customFormat="1" ht="18" customHeight="1">
      <c r="B39" s="22" t="s">
        <v>72</v>
      </c>
      <c r="C39" s="23">
        <f>C32/C5</f>
        <v>2.5572227652467607E-2</v>
      </c>
      <c r="D39" s="23">
        <f>D32/D5</f>
        <v>2.7561587757986301E-2</v>
      </c>
      <c r="G39" s="24"/>
    </row>
    <row r="40" spans="1:35" s="1" customFormat="1" ht="18" customHeight="1">
      <c r="B40" s="22" t="s">
        <v>73</v>
      </c>
      <c r="C40" s="23">
        <f>C33/C5</f>
        <v>2.8328470983836101E-2</v>
      </c>
      <c r="D40" s="23">
        <f>D33/D5</f>
        <v>3.137259679816759E-2</v>
      </c>
      <c r="G40" s="24"/>
    </row>
    <row r="41" spans="1:35">
      <c r="G41" s="25"/>
    </row>
    <row r="42" spans="1:35">
      <c r="G42" s="25"/>
    </row>
    <row r="43" spans="1:35">
      <c r="G43" s="25"/>
    </row>
    <row r="44" spans="1:35">
      <c r="G44" s="25"/>
    </row>
    <row r="45" spans="1:35">
      <c r="G45" s="25"/>
    </row>
    <row r="46" spans="1:35">
      <c r="G46" s="25"/>
    </row>
    <row r="47" spans="1:35">
      <c r="G47" s="25"/>
    </row>
    <row r="48" spans="1:35">
      <c r="G48" s="25"/>
    </row>
    <row r="49" spans="7:7">
      <c r="G49" s="25"/>
    </row>
    <row r="50" spans="7:7">
      <c r="G50" s="25"/>
    </row>
    <row r="51" spans="7:7">
      <c r="G51" s="25"/>
    </row>
    <row r="52" spans="7:7">
      <c r="G52" s="25"/>
    </row>
    <row r="53" spans="7:7">
      <c r="G53" s="25"/>
    </row>
    <row r="54" spans="7:7">
      <c r="G54" s="25"/>
    </row>
    <row r="55" spans="7:7">
      <c r="G55" s="25"/>
    </row>
    <row r="56" spans="7:7">
      <c r="G56" s="25"/>
    </row>
    <row r="57" spans="7:7">
      <c r="G57" s="25"/>
    </row>
    <row r="58" spans="7:7">
      <c r="G58" s="25"/>
    </row>
    <row r="59" spans="7:7">
      <c r="G59" s="25"/>
    </row>
    <row r="60" spans="7:7">
      <c r="G60" s="25"/>
    </row>
    <row r="61" spans="7:7">
      <c r="G61" s="25"/>
    </row>
    <row r="62" spans="7:7">
      <c r="G62" s="25"/>
    </row>
    <row r="63" spans="7:7">
      <c r="G63" s="25"/>
    </row>
  </sheetData>
  <mergeCells count="10">
    <mergeCell ref="A35:A37"/>
    <mergeCell ref="A13:A15"/>
    <mergeCell ref="A16:A17"/>
    <mergeCell ref="A19:A29"/>
    <mergeCell ref="A31:A34"/>
    <mergeCell ref="A1:B1"/>
    <mergeCell ref="C1:AI1"/>
    <mergeCell ref="A3:A5"/>
    <mergeCell ref="A6:A8"/>
    <mergeCell ref="A9:A12"/>
  </mergeCells>
  <phoneticPr fontId="12" type="noConversion"/>
  <pageMargins left="0.69930555555555596" right="0.69930555555555596" top="0.75" bottom="0.75" header="0.3" footer="0.3"/>
  <pageSetup paperSize="8" scale="57" orientation="landscape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63"/>
  <sheetViews>
    <sheetView topLeftCell="A19" workbookViewId="0">
      <pane xSplit="4" topLeftCell="U1" activePane="topRight" state="frozen"/>
      <selection pane="topRight" activeCell="V45" sqref="V45"/>
    </sheetView>
  </sheetViews>
  <sheetFormatPr defaultColWidth="9" defaultRowHeight="13.5"/>
  <cols>
    <col min="1" max="1" width="8.75" style="4" customWidth="1"/>
    <col min="2" max="2" width="13.625" style="4" customWidth="1"/>
    <col min="3" max="3" width="10.625" style="4" customWidth="1"/>
    <col min="4" max="4" width="10.5" style="4" customWidth="1"/>
    <col min="5" max="6" width="9" style="4"/>
    <col min="7" max="12" width="9" style="4" customWidth="1"/>
    <col min="13" max="13" width="10.875" style="4" customWidth="1"/>
    <col min="14" max="31" width="9" style="4" customWidth="1"/>
    <col min="32" max="32" width="9" style="4"/>
    <col min="33" max="33" width="9" style="4" customWidth="1"/>
    <col min="34" max="34" width="8.375" style="4" customWidth="1"/>
    <col min="35" max="35" width="9" style="4" customWidth="1"/>
    <col min="36" max="16384" width="9" style="4"/>
  </cols>
  <sheetData>
    <row r="1" spans="1:35" s="1" customFormat="1" ht="42.75" customHeight="1">
      <c r="A1" s="53">
        <v>44256</v>
      </c>
      <c r="B1" s="54"/>
      <c r="C1" s="55" t="s">
        <v>0</v>
      </c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55"/>
      <c r="X1" s="55"/>
      <c r="Y1" s="55"/>
      <c r="Z1" s="55"/>
      <c r="AA1" s="55"/>
      <c r="AB1" s="55"/>
      <c r="AC1" s="55"/>
      <c r="AD1" s="55"/>
      <c r="AE1" s="55"/>
      <c r="AF1" s="55"/>
      <c r="AG1" s="55"/>
      <c r="AH1" s="55"/>
      <c r="AI1" s="55"/>
    </row>
    <row r="2" spans="1:35" s="2" customFormat="1" ht="24.95" customHeight="1">
      <c r="A2" s="5"/>
      <c r="B2" s="5" t="s">
        <v>1</v>
      </c>
      <c r="C2" s="5" t="s">
        <v>2</v>
      </c>
      <c r="D2" s="5" t="s">
        <v>3</v>
      </c>
      <c r="E2" s="5" t="s">
        <v>4</v>
      </c>
      <c r="F2" s="5" t="s">
        <v>5</v>
      </c>
      <c r="G2" s="5" t="s">
        <v>6</v>
      </c>
      <c r="H2" s="5" t="s">
        <v>7</v>
      </c>
      <c r="I2" s="5" t="s">
        <v>8</v>
      </c>
      <c r="J2" s="5" t="s">
        <v>9</v>
      </c>
      <c r="K2" s="5" t="s">
        <v>10</v>
      </c>
      <c r="L2" s="5" t="s">
        <v>11</v>
      </c>
      <c r="M2" s="5" t="s">
        <v>12</v>
      </c>
      <c r="N2" s="5" t="s">
        <v>13</v>
      </c>
      <c r="O2" s="5" t="s">
        <v>14</v>
      </c>
      <c r="P2" s="5" t="s">
        <v>15</v>
      </c>
      <c r="Q2" s="5" t="s">
        <v>16</v>
      </c>
      <c r="R2" s="5" t="s">
        <v>17</v>
      </c>
      <c r="S2" s="5" t="s">
        <v>18</v>
      </c>
      <c r="T2" s="5" t="s">
        <v>19</v>
      </c>
      <c r="U2" s="5" t="s">
        <v>20</v>
      </c>
      <c r="V2" s="5" t="s">
        <v>21</v>
      </c>
      <c r="W2" s="5" t="s">
        <v>22</v>
      </c>
      <c r="X2" s="5" t="s">
        <v>23</v>
      </c>
      <c r="Y2" s="5" t="s">
        <v>24</v>
      </c>
      <c r="Z2" s="5" t="s">
        <v>25</v>
      </c>
      <c r="AA2" s="5" t="s">
        <v>26</v>
      </c>
      <c r="AB2" s="5" t="s">
        <v>27</v>
      </c>
      <c r="AC2" s="5" t="s">
        <v>28</v>
      </c>
      <c r="AD2" s="5" t="s">
        <v>29</v>
      </c>
      <c r="AE2" s="5" t="s">
        <v>30</v>
      </c>
      <c r="AF2" s="5" t="s">
        <v>31</v>
      </c>
      <c r="AG2" s="5" t="s">
        <v>32</v>
      </c>
      <c r="AH2" s="5" t="s">
        <v>33</v>
      </c>
      <c r="AI2" s="5" t="s">
        <v>34</v>
      </c>
    </row>
    <row r="3" spans="1:35" s="3" customFormat="1" ht="25.5" customHeight="1">
      <c r="A3" s="56" t="s">
        <v>35</v>
      </c>
      <c r="B3" s="7" t="s">
        <v>36</v>
      </c>
      <c r="C3" s="7">
        <f>'2月 '!C3+D3</f>
        <v>29474.400000000001</v>
      </c>
      <c r="D3" s="7">
        <f t="shared" ref="D3:D9" si="0">SUM(E3:AI3)</f>
        <v>11955</v>
      </c>
      <c r="E3" s="7">
        <v>408.6</v>
      </c>
      <c r="F3" s="7">
        <v>405.4</v>
      </c>
      <c r="G3" s="7">
        <v>388.3</v>
      </c>
      <c r="H3" s="7">
        <v>381.5</v>
      </c>
      <c r="I3" s="7">
        <v>382.5</v>
      </c>
      <c r="J3" s="7">
        <v>400.5</v>
      </c>
      <c r="K3" s="7">
        <v>394.1</v>
      </c>
      <c r="L3" s="7">
        <v>384.9</v>
      </c>
      <c r="M3" s="7">
        <v>348.6</v>
      </c>
      <c r="N3" s="7">
        <v>372.8</v>
      </c>
      <c r="O3" s="7">
        <v>348.7</v>
      </c>
      <c r="P3" s="7">
        <v>418.2</v>
      </c>
      <c r="Q3" s="7">
        <v>393.4</v>
      </c>
      <c r="R3" s="7">
        <v>399.7</v>
      </c>
      <c r="S3" s="7">
        <v>377.2</v>
      </c>
      <c r="T3" s="7">
        <v>370.3</v>
      </c>
      <c r="U3" s="7">
        <v>384</v>
      </c>
      <c r="V3" s="7">
        <v>379.7</v>
      </c>
      <c r="W3" s="7">
        <v>365.8</v>
      </c>
      <c r="X3" s="7">
        <v>381.3</v>
      </c>
      <c r="Y3" s="7">
        <v>393.8</v>
      </c>
      <c r="Z3" s="7">
        <v>391.9</v>
      </c>
      <c r="AA3" s="7">
        <v>378.3</v>
      </c>
      <c r="AB3" s="7">
        <v>386.6</v>
      </c>
      <c r="AC3" s="7">
        <v>388.2</v>
      </c>
      <c r="AD3" s="7">
        <v>391.5</v>
      </c>
      <c r="AE3" s="7">
        <v>415</v>
      </c>
      <c r="AF3" s="7">
        <v>392.3</v>
      </c>
      <c r="AG3" s="7">
        <v>383.5</v>
      </c>
      <c r="AH3" s="7">
        <v>388.8</v>
      </c>
      <c r="AI3" s="30">
        <v>359.6</v>
      </c>
    </row>
    <row r="4" spans="1:35" s="3" customFormat="1" ht="26.25" customHeight="1">
      <c r="A4" s="56"/>
      <c r="B4" s="7" t="s">
        <v>37</v>
      </c>
      <c r="C4" s="7">
        <f>'2月 '!C4+D4</f>
        <v>35428.199999999997</v>
      </c>
      <c r="D4" s="7">
        <f t="shared" si="0"/>
        <v>12740.699999999997</v>
      </c>
      <c r="E4" s="7">
        <v>394</v>
      </c>
      <c r="F4" s="7">
        <v>429.5</v>
      </c>
      <c r="G4" s="7">
        <v>420.9</v>
      </c>
      <c r="H4" s="7">
        <v>408</v>
      </c>
      <c r="I4" s="7">
        <v>440.6</v>
      </c>
      <c r="J4" s="7">
        <v>421.5</v>
      </c>
      <c r="K4" s="7">
        <v>422</v>
      </c>
      <c r="L4" s="7">
        <v>402</v>
      </c>
      <c r="M4" s="7">
        <v>376.7</v>
      </c>
      <c r="N4" s="7">
        <v>381.4</v>
      </c>
      <c r="O4" s="7">
        <v>370.7</v>
      </c>
      <c r="P4" s="7">
        <v>435.1</v>
      </c>
      <c r="Q4" s="7">
        <v>416</v>
      </c>
      <c r="R4" s="7">
        <v>432</v>
      </c>
      <c r="S4" s="7">
        <v>413</v>
      </c>
      <c r="T4" s="7">
        <v>411.3</v>
      </c>
      <c r="U4" s="7">
        <v>428.3</v>
      </c>
      <c r="V4" s="7">
        <v>417.2</v>
      </c>
      <c r="W4" s="7">
        <v>419.4</v>
      </c>
      <c r="X4" s="7">
        <v>412</v>
      </c>
      <c r="Y4" s="7">
        <v>424.5</v>
      </c>
      <c r="Z4" s="7">
        <v>399.3</v>
      </c>
      <c r="AA4" s="7">
        <v>398.4</v>
      </c>
      <c r="AB4" s="7">
        <v>421.8</v>
      </c>
      <c r="AC4" s="7">
        <v>406.4</v>
      </c>
      <c r="AD4" s="7">
        <v>402.3</v>
      </c>
      <c r="AE4" s="7">
        <v>427.6</v>
      </c>
      <c r="AF4" s="7">
        <v>406.1</v>
      </c>
      <c r="AG4" s="7">
        <v>402.2</v>
      </c>
      <c r="AH4" s="30">
        <v>403.6</v>
      </c>
      <c r="AI4" s="7">
        <v>396.9</v>
      </c>
    </row>
    <row r="5" spans="1:35" s="3" customFormat="1" ht="24.95" customHeight="1">
      <c r="A5" s="56"/>
      <c r="B5" s="7" t="s">
        <v>38</v>
      </c>
      <c r="C5" s="7">
        <f>'2月 '!C5+D5</f>
        <v>64902.600000000006</v>
      </c>
      <c r="D5" s="7">
        <f t="shared" si="0"/>
        <v>24695.7</v>
      </c>
      <c r="E5" s="7">
        <f>SUM(E3:E4)</f>
        <v>802.6</v>
      </c>
      <c r="F5" s="7">
        <f t="shared" ref="F5:AI5" si="1">SUM(F3:F4)</f>
        <v>834.9</v>
      </c>
      <c r="G5" s="7">
        <f t="shared" si="1"/>
        <v>809.2</v>
      </c>
      <c r="H5" s="7">
        <f t="shared" si="1"/>
        <v>789.5</v>
      </c>
      <c r="I5" s="7">
        <f t="shared" si="1"/>
        <v>823.1</v>
      </c>
      <c r="J5" s="7">
        <f t="shared" si="1"/>
        <v>822</v>
      </c>
      <c r="K5" s="7">
        <f t="shared" si="1"/>
        <v>816.1</v>
      </c>
      <c r="L5" s="7">
        <f t="shared" si="1"/>
        <v>786.9</v>
      </c>
      <c r="M5" s="7">
        <f t="shared" si="1"/>
        <v>725.3</v>
      </c>
      <c r="N5" s="7">
        <f t="shared" si="1"/>
        <v>754.2</v>
      </c>
      <c r="O5" s="7">
        <f t="shared" si="1"/>
        <v>719.4</v>
      </c>
      <c r="P5" s="7">
        <f t="shared" si="1"/>
        <v>853.3</v>
      </c>
      <c r="Q5" s="7">
        <f t="shared" si="1"/>
        <v>809.4</v>
      </c>
      <c r="R5" s="7">
        <f t="shared" si="1"/>
        <v>831.7</v>
      </c>
      <c r="S5" s="7">
        <f t="shared" si="1"/>
        <v>790.2</v>
      </c>
      <c r="T5" s="7">
        <f t="shared" si="1"/>
        <v>781.6</v>
      </c>
      <c r="U5" s="7">
        <f t="shared" si="1"/>
        <v>812.3</v>
      </c>
      <c r="V5" s="7">
        <f t="shared" si="1"/>
        <v>796.9</v>
      </c>
      <c r="W5" s="7">
        <f t="shared" si="1"/>
        <v>785.2</v>
      </c>
      <c r="X5" s="7">
        <f t="shared" si="1"/>
        <v>793.3</v>
      </c>
      <c r="Y5" s="7">
        <f t="shared" si="1"/>
        <v>818.3</v>
      </c>
      <c r="Z5" s="7">
        <f t="shared" si="1"/>
        <v>791.2</v>
      </c>
      <c r="AA5" s="7">
        <f t="shared" si="1"/>
        <v>776.7</v>
      </c>
      <c r="AB5" s="7">
        <f t="shared" si="1"/>
        <v>808.40000000000009</v>
      </c>
      <c r="AC5" s="7">
        <f t="shared" si="1"/>
        <v>794.59999999999991</v>
      </c>
      <c r="AD5" s="7">
        <f t="shared" si="1"/>
        <v>793.8</v>
      </c>
      <c r="AE5" s="7">
        <f t="shared" si="1"/>
        <v>842.6</v>
      </c>
      <c r="AF5" s="7">
        <f t="shared" si="1"/>
        <v>798.40000000000009</v>
      </c>
      <c r="AG5" s="7">
        <f t="shared" si="1"/>
        <v>785.7</v>
      </c>
      <c r="AH5" s="7">
        <f t="shared" si="1"/>
        <v>792.40000000000009</v>
      </c>
      <c r="AI5" s="7">
        <f t="shared" si="1"/>
        <v>756.5</v>
      </c>
    </row>
    <row r="6" spans="1:35" s="3" customFormat="1" ht="24.95" customHeight="1">
      <c r="A6" s="56" t="s">
        <v>39</v>
      </c>
      <c r="B6" s="7" t="s">
        <v>40</v>
      </c>
      <c r="C6" s="7">
        <f>'2月 '!C6+D6</f>
        <v>13606080</v>
      </c>
      <c r="D6" s="7">
        <f t="shared" si="0"/>
        <v>5453280</v>
      </c>
      <c r="E6" s="7">
        <v>171840</v>
      </c>
      <c r="F6" s="7">
        <v>156960</v>
      </c>
      <c r="G6" s="7">
        <v>168480</v>
      </c>
      <c r="H6" s="7">
        <v>178560</v>
      </c>
      <c r="I6" s="7">
        <v>176400</v>
      </c>
      <c r="J6" s="7">
        <v>173520</v>
      </c>
      <c r="K6" s="7">
        <v>175200</v>
      </c>
      <c r="L6" s="7">
        <v>169440</v>
      </c>
      <c r="M6" s="7">
        <v>163920</v>
      </c>
      <c r="N6" s="7">
        <v>169200</v>
      </c>
      <c r="O6" s="7">
        <v>163200</v>
      </c>
      <c r="P6" s="26">
        <v>179040</v>
      </c>
      <c r="Q6" s="7">
        <v>177360</v>
      </c>
      <c r="R6" s="7">
        <v>180720</v>
      </c>
      <c r="S6" s="7">
        <v>177120</v>
      </c>
      <c r="T6" s="7">
        <v>178320</v>
      </c>
      <c r="U6" s="26">
        <v>179280</v>
      </c>
      <c r="V6" s="7">
        <v>169920</v>
      </c>
      <c r="W6" s="7">
        <v>168240</v>
      </c>
      <c r="X6" s="7">
        <v>185520</v>
      </c>
      <c r="Y6" s="7">
        <v>195840</v>
      </c>
      <c r="Z6" s="7">
        <v>180480</v>
      </c>
      <c r="AA6" s="7">
        <v>183360</v>
      </c>
      <c r="AB6" s="7">
        <v>176400</v>
      </c>
      <c r="AC6" s="7">
        <v>177840</v>
      </c>
      <c r="AD6" s="7">
        <v>175440</v>
      </c>
      <c r="AE6" s="7">
        <v>176160</v>
      </c>
      <c r="AF6" s="7">
        <v>178080</v>
      </c>
      <c r="AG6" s="7">
        <v>176160</v>
      </c>
      <c r="AH6" s="7">
        <v>187440</v>
      </c>
      <c r="AI6" s="7">
        <v>183840</v>
      </c>
    </row>
    <row r="7" spans="1:35" s="3" customFormat="1" ht="24.95" customHeight="1">
      <c r="A7" s="56"/>
      <c r="B7" s="7" t="s">
        <v>41</v>
      </c>
      <c r="C7" s="7">
        <f>'2月 '!C7+D7</f>
        <v>13667820</v>
      </c>
      <c r="D7" s="7">
        <f t="shared" si="0"/>
        <v>4594620</v>
      </c>
      <c r="E7" s="7">
        <v>137760</v>
      </c>
      <c r="F7" s="7">
        <v>127440</v>
      </c>
      <c r="G7" s="7">
        <v>130560</v>
      </c>
      <c r="H7" s="7">
        <v>142320</v>
      </c>
      <c r="I7" s="7">
        <v>137520</v>
      </c>
      <c r="J7" s="7">
        <v>138720</v>
      </c>
      <c r="K7" s="7">
        <v>132720</v>
      </c>
      <c r="L7" s="7">
        <v>144240</v>
      </c>
      <c r="M7" s="7">
        <v>143280</v>
      </c>
      <c r="N7" s="7">
        <v>144000</v>
      </c>
      <c r="O7" s="7">
        <v>138720</v>
      </c>
      <c r="P7" s="26">
        <v>141840</v>
      </c>
      <c r="Q7" s="7">
        <v>149040</v>
      </c>
      <c r="R7" s="7">
        <v>153360</v>
      </c>
      <c r="S7" s="7">
        <v>161760</v>
      </c>
      <c r="T7" s="7">
        <v>159600</v>
      </c>
      <c r="U7" s="7">
        <v>157200</v>
      </c>
      <c r="V7" s="7">
        <v>148320</v>
      </c>
      <c r="W7" s="7">
        <v>144000</v>
      </c>
      <c r="X7" s="7">
        <v>142320</v>
      </c>
      <c r="Y7" s="7">
        <v>150960</v>
      </c>
      <c r="Z7" s="7">
        <v>159120</v>
      </c>
      <c r="AA7" s="7">
        <v>162720</v>
      </c>
      <c r="AB7" s="7">
        <v>159600</v>
      </c>
      <c r="AC7" s="7">
        <v>152640</v>
      </c>
      <c r="AD7" s="7">
        <v>158080</v>
      </c>
      <c r="AE7" s="7">
        <v>167040</v>
      </c>
      <c r="AF7" s="7">
        <v>162620</v>
      </c>
      <c r="AG7" s="7">
        <v>156960</v>
      </c>
      <c r="AH7" s="7">
        <v>147120</v>
      </c>
      <c r="AI7" s="26">
        <v>143040</v>
      </c>
    </row>
    <row r="8" spans="1:35" s="3" customFormat="1" ht="24.75" customHeight="1">
      <c r="A8" s="56"/>
      <c r="B8" s="7" t="s">
        <v>38</v>
      </c>
      <c r="C8" s="7">
        <f>'2月 '!C8+D8</f>
        <v>27273900</v>
      </c>
      <c r="D8" s="7">
        <f t="shared" si="0"/>
        <v>10047900</v>
      </c>
      <c r="E8" s="7">
        <f t="shared" ref="E8:AI8" si="2">SUM(E6:E7)</f>
        <v>309600</v>
      </c>
      <c r="F8" s="7">
        <f t="shared" si="2"/>
        <v>284400</v>
      </c>
      <c r="G8" s="7">
        <f t="shared" si="2"/>
        <v>299040</v>
      </c>
      <c r="H8" s="7">
        <f t="shared" si="2"/>
        <v>320880</v>
      </c>
      <c r="I8" s="7">
        <f t="shared" si="2"/>
        <v>313920</v>
      </c>
      <c r="J8" s="7">
        <f t="shared" si="2"/>
        <v>312240</v>
      </c>
      <c r="K8" s="7">
        <f t="shared" si="2"/>
        <v>307920</v>
      </c>
      <c r="L8" s="7">
        <f t="shared" si="2"/>
        <v>313680</v>
      </c>
      <c r="M8" s="7">
        <f t="shared" si="2"/>
        <v>307200</v>
      </c>
      <c r="N8" s="7">
        <f t="shared" si="2"/>
        <v>313200</v>
      </c>
      <c r="O8" s="7">
        <f t="shared" si="2"/>
        <v>301920</v>
      </c>
      <c r="P8" s="7">
        <f t="shared" si="2"/>
        <v>320880</v>
      </c>
      <c r="Q8" s="7">
        <f t="shared" si="2"/>
        <v>326400</v>
      </c>
      <c r="R8" s="7">
        <f t="shared" si="2"/>
        <v>334080</v>
      </c>
      <c r="S8" s="7">
        <f t="shared" si="2"/>
        <v>338880</v>
      </c>
      <c r="T8" s="7">
        <f t="shared" si="2"/>
        <v>337920</v>
      </c>
      <c r="U8" s="7">
        <f t="shared" si="2"/>
        <v>336480</v>
      </c>
      <c r="V8" s="7">
        <f t="shared" si="2"/>
        <v>318240</v>
      </c>
      <c r="W8" s="7">
        <f t="shared" si="2"/>
        <v>312240</v>
      </c>
      <c r="X8" s="7">
        <f t="shared" si="2"/>
        <v>327840</v>
      </c>
      <c r="Y8" s="7">
        <f t="shared" si="2"/>
        <v>346800</v>
      </c>
      <c r="Z8" s="7">
        <f t="shared" si="2"/>
        <v>339600</v>
      </c>
      <c r="AA8" s="7">
        <f t="shared" si="2"/>
        <v>346080</v>
      </c>
      <c r="AB8" s="7">
        <f t="shared" si="2"/>
        <v>336000</v>
      </c>
      <c r="AC8" s="7">
        <f t="shared" si="2"/>
        <v>330480</v>
      </c>
      <c r="AD8" s="7">
        <f t="shared" si="2"/>
        <v>333520</v>
      </c>
      <c r="AE8" s="7">
        <f t="shared" si="2"/>
        <v>343200</v>
      </c>
      <c r="AF8" s="7">
        <f t="shared" si="2"/>
        <v>340700</v>
      </c>
      <c r="AG8" s="7">
        <f t="shared" si="2"/>
        <v>333120</v>
      </c>
      <c r="AH8" s="7">
        <f t="shared" si="2"/>
        <v>334560</v>
      </c>
      <c r="AI8" s="7">
        <f t="shared" si="2"/>
        <v>326880</v>
      </c>
    </row>
    <row r="9" spans="1:35" s="3" customFormat="1" ht="24.95" customHeight="1">
      <c r="A9" s="56" t="s">
        <v>42</v>
      </c>
      <c r="B9" s="7" t="s">
        <v>38</v>
      </c>
      <c r="C9" s="7">
        <f>'2月 '!C9+D9</f>
        <v>23081200</v>
      </c>
      <c r="D9" s="7">
        <f t="shared" si="0"/>
        <v>8518820</v>
      </c>
      <c r="E9" s="7">
        <v>261080</v>
      </c>
      <c r="F9" s="7">
        <v>225880</v>
      </c>
      <c r="G9" s="7">
        <v>251140</v>
      </c>
      <c r="H9" s="7">
        <v>273920</v>
      </c>
      <c r="I9" s="7">
        <v>265900</v>
      </c>
      <c r="J9" s="7">
        <v>263500</v>
      </c>
      <c r="K9" s="7">
        <v>260140</v>
      </c>
      <c r="L9" s="7">
        <v>265540</v>
      </c>
      <c r="M9" s="7">
        <v>261500</v>
      </c>
      <c r="N9" s="7">
        <v>266120</v>
      </c>
      <c r="O9" s="7">
        <v>253860</v>
      </c>
      <c r="P9" s="7">
        <v>271820</v>
      </c>
      <c r="Q9" s="7">
        <v>277180</v>
      </c>
      <c r="R9" s="7">
        <v>286340</v>
      </c>
      <c r="S9" s="7">
        <v>292880</v>
      </c>
      <c r="T9" s="7">
        <v>289400</v>
      </c>
      <c r="U9" s="7">
        <v>286640</v>
      </c>
      <c r="V9" s="7">
        <v>268280</v>
      </c>
      <c r="W9" s="7">
        <v>261700</v>
      </c>
      <c r="X9" s="7">
        <v>276560</v>
      </c>
      <c r="Y9" s="7">
        <v>297080</v>
      </c>
      <c r="Z9" s="7">
        <v>288660</v>
      </c>
      <c r="AA9" s="7">
        <v>296640</v>
      </c>
      <c r="AB9" s="7">
        <v>285420</v>
      </c>
      <c r="AC9" s="7">
        <v>282100</v>
      </c>
      <c r="AD9" s="7">
        <v>283500</v>
      </c>
      <c r="AE9" s="7">
        <v>292780</v>
      </c>
      <c r="AF9" s="7">
        <v>290920</v>
      </c>
      <c r="AG9" s="7">
        <v>281160</v>
      </c>
      <c r="AH9" s="7">
        <v>284580</v>
      </c>
      <c r="AI9" s="7">
        <v>276600</v>
      </c>
    </row>
    <row r="10" spans="1:35" s="3" customFormat="1" ht="24.95" customHeight="1">
      <c r="A10" s="56"/>
      <c r="B10" s="6" t="s">
        <v>43</v>
      </c>
      <c r="C10" s="8">
        <f t="shared" ref="C10:AI10" si="3">SUM(C8/C5)</f>
        <v>420.22815726950842</v>
      </c>
      <c r="D10" s="8">
        <f t="shared" si="3"/>
        <v>406.86840219147462</v>
      </c>
      <c r="E10" s="8">
        <f t="shared" si="3"/>
        <v>385.74632444555192</v>
      </c>
      <c r="F10" s="8">
        <f t="shared" si="3"/>
        <v>340.63959755659363</v>
      </c>
      <c r="G10" s="8">
        <f t="shared" si="3"/>
        <v>369.5501730103806</v>
      </c>
      <c r="H10" s="8">
        <f t="shared" si="3"/>
        <v>406.43445218492718</v>
      </c>
      <c r="I10" s="8">
        <f t="shared" si="3"/>
        <v>381.38743773539056</v>
      </c>
      <c r="J10" s="8">
        <f t="shared" si="3"/>
        <v>379.85401459854012</v>
      </c>
      <c r="K10" s="8">
        <f t="shared" si="3"/>
        <v>377.30670260997425</v>
      </c>
      <c r="L10" s="8">
        <f t="shared" si="3"/>
        <v>398.62752573389253</v>
      </c>
      <c r="M10" s="8">
        <f t="shared" si="3"/>
        <v>423.54887632703714</v>
      </c>
      <c r="N10" s="8">
        <f t="shared" si="3"/>
        <v>415.27446300715985</v>
      </c>
      <c r="O10" s="8">
        <f t="shared" si="3"/>
        <v>419.68306922435363</v>
      </c>
      <c r="P10" s="8">
        <f t="shared" si="3"/>
        <v>376.04593929450374</v>
      </c>
      <c r="Q10" s="8">
        <f t="shared" si="3"/>
        <v>403.26167531504819</v>
      </c>
      <c r="R10" s="8">
        <f t="shared" si="3"/>
        <v>401.68329926656241</v>
      </c>
      <c r="S10" s="8">
        <f t="shared" si="3"/>
        <v>428.85345482156413</v>
      </c>
      <c r="T10" s="8">
        <f t="shared" si="3"/>
        <v>432.3439099283521</v>
      </c>
      <c r="U10" s="8">
        <f t="shared" si="3"/>
        <v>414.23119537116833</v>
      </c>
      <c r="V10" s="8">
        <f t="shared" si="3"/>
        <v>399.347471451876</v>
      </c>
      <c r="W10" s="8">
        <f t="shared" si="3"/>
        <v>397.65664798777379</v>
      </c>
      <c r="X10" s="8">
        <f t="shared" si="3"/>
        <v>413.261061389134</v>
      </c>
      <c r="Y10" s="8">
        <f t="shared" si="3"/>
        <v>423.80545032384214</v>
      </c>
      <c r="Z10" s="8">
        <f t="shared" si="3"/>
        <v>429.22143579373102</v>
      </c>
      <c r="AA10" s="8">
        <f t="shared" si="3"/>
        <v>445.57744302819617</v>
      </c>
      <c r="AB10" s="8">
        <f t="shared" si="3"/>
        <v>415.63582384957937</v>
      </c>
      <c r="AC10" s="8">
        <f t="shared" si="3"/>
        <v>415.90737477976347</v>
      </c>
      <c r="AD10" s="8">
        <f t="shared" si="3"/>
        <v>420.15621063240116</v>
      </c>
      <c r="AE10" s="8">
        <f t="shared" si="3"/>
        <v>407.31070496083549</v>
      </c>
      <c r="AF10" s="8">
        <f t="shared" si="3"/>
        <v>426.72845691382759</v>
      </c>
      <c r="AG10" s="8">
        <f t="shared" si="3"/>
        <v>423.97861779305077</v>
      </c>
      <c r="AH10" s="8">
        <f t="shared" si="3"/>
        <v>422.21100454315996</v>
      </c>
      <c r="AI10" s="8">
        <f t="shared" si="3"/>
        <v>432.09517514871118</v>
      </c>
    </row>
    <row r="11" spans="1:35" s="3" customFormat="1" ht="24.95" customHeight="1">
      <c r="A11" s="56"/>
      <c r="B11" s="9" t="s">
        <v>44</v>
      </c>
      <c r="C11" s="8">
        <f>(C8-C16)/C5</f>
        <v>355.79776465041459</v>
      </c>
      <c r="D11" s="8">
        <f>(D8-D16)/D5</f>
        <v>345.35647906315671</v>
      </c>
      <c r="E11" s="8">
        <f t="shared" ref="E11:AI11" si="4">SUM(E9/E5)</f>
        <v>325.29279840518313</v>
      </c>
      <c r="F11" s="45">
        <f t="shared" si="4"/>
        <v>270.54737094262788</v>
      </c>
      <c r="G11" s="8">
        <f t="shared" si="4"/>
        <v>310.35590706870983</v>
      </c>
      <c r="H11" s="8">
        <f t="shared" si="4"/>
        <v>346.9537682077264</v>
      </c>
      <c r="I11" s="8">
        <f t="shared" si="4"/>
        <v>323.04701737334466</v>
      </c>
      <c r="J11" s="8">
        <f t="shared" si="4"/>
        <v>320.55961070559613</v>
      </c>
      <c r="K11" s="8">
        <f t="shared" si="4"/>
        <v>318.75995588775885</v>
      </c>
      <c r="L11" s="8">
        <f t="shared" si="4"/>
        <v>337.45075613165585</v>
      </c>
      <c r="M11" s="8">
        <f t="shared" si="4"/>
        <v>360.54046601406316</v>
      </c>
      <c r="N11" s="8">
        <f t="shared" si="4"/>
        <v>352.85070273137097</v>
      </c>
      <c r="O11" s="8">
        <f t="shared" si="4"/>
        <v>352.87739783152631</v>
      </c>
      <c r="P11" s="8">
        <f t="shared" si="4"/>
        <v>318.55150591819995</v>
      </c>
      <c r="Q11" s="8">
        <f t="shared" si="4"/>
        <v>342.45119841858167</v>
      </c>
      <c r="R11" s="8">
        <f t="shared" si="4"/>
        <v>344.28279427678245</v>
      </c>
      <c r="S11" s="8">
        <f t="shared" si="4"/>
        <v>370.640344216654</v>
      </c>
      <c r="T11" s="8">
        <f t="shared" si="4"/>
        <v>370.2661207778915</v>
      </c>
      <c r="U11" s="8">
        <f t="shared" si="4"/>
        <v>352.87455373630434</v>
      </c>
      <c r="V11" s="8">
        <f t="shared" si="4"/>
        <v>336.65453632827206</v>
      </c>
      <c r="W11" s="8">
        <f t="shared" si="4"/>
        <v>333.29088130412634</v>
      </c>
      <c r="X11" s="8">
        <f t="shared" si="4"/>
        <v>348.61968990293713</v>
      </c>
      <c r="Y11" s="8">
        <f t="shared" si="4"/>
        <v>363.04533789563732</v>
      </c>
      <c r="Z11" s="8">
        <f t="shared" si="4"/>
        <v>364.83822042467136</v>
      </c>
      <c r="AA11" s="8">
        <f t="shared" si="4"/>
        <v>381.92352259559675</v>
      </c>
      <c r="AB11" s="8">
        <f t="shared" si="4"/>
        <v>353.06778822365163</v>
      </c>
      <c r="AC11" s="8">
        <f t="shared" si="4"/>
        <v>355.02139441228297</v>
      </c>
      <c r="AD11" s="8">
        <f t="shared" si="4"/>
        <v>357.14285714285717</v>
      </c>
      <c r="AE11" s="8">
        <f t="shared" si="4"/>
        <v>347.47211013529551</v>
      </c>
      <c r="AF11" s="8">
        <f t="shared" si="4"/>
        <v>364.37875751503003</v>
      </c>
      <c r="AG11" s="8">
        <f t="shared" si="4"/>
        <v>357.84650630011453</v>
      </c>
      <c r="AH11" s="8">
        <f t="shared" si="4"/>
        <v>359.13679959616348</v>
      </c>
      <c r="AI11" s="8">
        <f t="shared" si="4"/>
        <v>365.63119629874421</v>
      </c>
    </row>
    <row r="12" spans="1:35" s="3" customFormat="1" ht="24.95" customHeight="1">
      <c r="A12" s="56"/>
      <c r="B12" s="6" t="s">
        <v>45</v>
      </c>
      <c r="C12" s="8">
        <f>'2月 '!C12+D12</f>
        <v>62258.939999999988</v>
      </c>
      <c r="D12" s="8">
        <f t="shared" ref="D12:D16" si="5">SUM(E12:AI12)</f>
        <v>21946.719999999994</v>
      </c>
      <c r="E12" s="7">
        <v>731.7</v>
      </c>
      <c r="F12" s="7">
        <v>757.48</v>
      </c>
      <c r="G12" s="7">
        <v>809.32</v>
      </c>
      <c r="H12" s="7">
        <v>750.6</v>
      </c>
      <c r="I12" s="7">
        <v>749</v>
      </c>
      <c r="J12" s="7">
        <v>562.78</v>
      </c>
      <c r="K12" s="7">
        <v>648.70000000000005</v>
      </c>
      <c r="L12" s="7">
        <v>799.44</v>
      </c>
      <c r="M12" s="7">
        <v>529.14</v>
      </c>
      <c r="N12" s="7">
        <v>743.46</v>
      </c>
      <c r="O12" s="7">
        <v>608.76</v>
      </c>
      <c r="P12" s="7">
        <v>616.38</v>
      </c>
      <c r="Q12" s="7">
        <v>628.1</v>
      </c>
      <c r="R12" s="7">
        <v>715.76</v>
      </c>
      <c r="S12" s="7">
        <v>731.34</v>
      </c>
      <c r="T12" s="7">
        <v>609.54</v>
      </c>
      <c r="U12" s="7">
        <v>769.92</v>
      </c>
      <c r="V12" s="7">
        <v>824.52</v>
      </c>
      <c r="W12" s="7">
        <v>763.94</v>
      </c>
      <c r="X12" s="7">
        <v>756.62</v>
      </c>
      <c r="Y12" s="7">
        <v>724.1</v>
      </c>
      <c r="Z12" s="7">
        <v>757.74</v>
      </c>
      <c r="AA12" s="7">
        <v>790.6</v>
      </c>
      <c r="AB12" s="7">
        <v>640.64</v>
      </c>
      <c r="AC12" s="7">
        <v>596.6</v>
      </c>
      <c r="AD12" s="12">
        <v>728.96</v>
      </c>
      <c r="AE12" s="7">
        <v>756.96</v>
      </c>
      <c r="AF12" s="7">
        <v>700.34</v>
      </c>
      <c r="AG12" s="7">
        <v>669.1</v>
      </c>
      <c r="AH12" s="12">
        <v>768.26</v>
      </c>
      <c r="AI12" s="7">
        <v>706.92</v>
      </c>
    </row>
    <row r="13" spans="1:35" s="3" customFormat="1" ht="24.75" customHeight="1">
      <c r="A13" s="58" t="s">
        <v>46</v>
      </c>
      <c r="B13" s="6" t="s">
        <v>36</v>
      </c>
      <c r="C13" s="8">
        <f>'2月 '!C13+D13</f>
        <v>74093</v>
      </c>
      <c r="D13" s="10">
        <f t="shared" si="5"/>
        <v>29537</v>
      </c>
      <c r="E13" s="7">
        <v>921</v>
      </c>
      <c r="F13" s="7">
        <v>864</v>
      </c>
      <c r="G13" s="7">
        <v>935</v>
      </c>
      <c r="H13" s="7">
        <v>920</v>
      </c>
      <c r="I13" s="7">
        <v>923</v>
      </c>
      <c r="J13" s="7">
        <v>922</v>
      </c>
      <c r="K13" s="7">
        <v>899</v>
      </c>
      <c r="L13" s="7">
        <v>910</v>
      </c>
      <c r="M13" s="20">
        <v>901</v>
      </c>
      <c r="N13" s="7">
        <v>953</v>
      </c>
      <c r="O13" s="7">
        <v>924</v>
      </c>
      <c r="P13" s="20">
        <v>916</v>
      </c>
      <c r="Q13" s="7">
        <v>914</v>
      </c>
      <c r="R13" s="7">
        <v>952</v>
      </c>
      <c r="S13" s="7">
        <v>968</v>
      </c>
      <c r="T13" s="7">
        <v>976</v>
      </c>
      <c r="U13" s="7">
        <v>987</v>
      </c>
      <c r="V13" s="7">
        <v>921</v>
      </c>
      <c r="W13" s="7">
        <v>918</v>
      </c>
      <c r="X13" s="7">
        <v>978</v>
      </c>
      <c r="Y13" s="7">
        <v>1027</v>
      </c>
      <c r="Z13" s="7">
        <v>1007</v>
      </c>
      <c r="AA13" s="7">
        <v>1003</v>
      </c>
      <c r="AB13" s="7">
        <v>988</v>
      </c>
      <c r="AC13" s="7">
        <v>972</v>
      </c>
      <c r="AD13" s="7">
        <v>992</v>
      </c>
      <c r="AE13" s="7">
        <v>1022</v>
      </c>
      <c r="AF13" s="7">
        <v>1012</v>
      </c>
      <c r="AG13" s="7">
        <v>993</v>
      </c>
      <c r="AH13" s="7">
        <v>969</v>
      </c>
      <c r="AI13" s="7">
        <v>950</v>
      </c>
    </row>
    <row r="14" spans="1:35" s="3" customFormat="1" ht="24.95" customHeight="1">
      <c r="A14" s="59"/>
      <c r="B14" s="6" t="s">
        <v>37</v>
      </c>
      <c r="C14" s="8">
        <f>'2月 '!C14+D14</f>
        <v>87922</v>
      </c>
      <c r="D14" s="10">
        <f t="shared" si="5"/>
        <v>31083</v>
      </c>
      <c r="E14" s="7">
        <v>927</v>
      </c>
      <c r="F14" s="7">
        <v>868</v>
      </c>
      <c r="G14" s="7">
        <v>875</v>
      </c>
      <c r="H14" s="7">
        <v>997</v>
      </c>
      <c r="I14" s="7">
        <v>1021</v>
      </c>
      <c r="J14" s="7">
        <v>958</v>
      </c>
      <c r="K14" s="7">
        <v>974</v>
      </c>
      <c r="L14" s="7">
        <v>967</v>
      </c>
      <c r="M14" s="20">
        <v>931</v>
      </c>
      <c r="N14" s="7">
        <v>917</v>
      </c>
      <c r="O14" s="7">
        <v>933</v>
      </c>
      <c r="P14" s="20">
        <v>1009</v>
      </c>
      <c r="Q14" s="7">
        <v>1018</v>
      </c>
      <c r="R14" s="7">
        <v>1055</v>
      </c>
      <c r="S14" s="7">
        <v>1060</v>
      </c>
      <c r="T14" s="7">
        <v>1014</v>
      </c>
      <c r="U14" s="7">
        <v>1024</v>
      </c>
      <c r="V14" s="7">
        <v>1003</v>
      </c>
      <c r="W14" s="7">
        <v>987</v>
      </c>
      <c r="X14" s="7">
        <v>1048</v>
      </c>
      <c r="Y14" s="7">
        <v>1087</v>
      </c>
      <c r="Z14" s="7">
        <v>1067</v>
      </c>
      <c r="AA14" s="7">
        <v>1091</v>
      </c>
      <c r="AB14" s="7">
        <v>1055</v>
      </c>
      <c r="AC14" s="7">
        <v>1027</v>
      </c>
      <c r="AD14" s="7">
        <v>1014</v>
      </c>
      <c r="AE14" s="7">
        <v>1027</v>
      </c>
      <c r="AF14" s="7">
        <v>1048</v>
      </c>
      <c r="AG14" s="7">
        <v>989</v>
      </c>
      <c r="AH14" s="7">
        <v>1018</v>
      </c>
      <c r="AI14" s="7">
        <v>1074</v>
      </c>
    </row>
    <row r="15" spans="1:35" s="3" customFormat="1" ht="24" customHeight="1">
      <c r="A15" s="60"/>
      <c r="B15" s="7" t="s">
        <v>38</v>
      </c>
      <c r="C15" s="8">
        <f>'2月 '!C15+D15</f>
        <v>162015</v>
      </c>
      <c r="D15" s="7">
        <f t="shared" si="5"/>
        <v>60620</v>
      </c>
      <c r="E15" s="7">
        <f>SUM(E13:E14)</f>
        <v>1848</v>
      </c>
      <c r="F15" s="7">
        <f>SUM(F13:F14)</f>
        <v>1732</v>
      </c>
      <c r="G15" s="7">
        <f t="shared" ref="G15:AI15" si="6">SUM(G13:G14)</f>
        <v>1810</v>
      </c>
      <c r="H15" s="7">
        <f t="shared" si="6"/>
        <v>1917</v>
      </c>
      <c r="I15" s="7">
        <f t="shared" si="6"/>
        <v>1944</v>
      </c>
      <c r="J15" s="7">
        <f t="shared" si="6"/>
        <v>1880</v>
      </c>
      <c r="K15" s="7">
        <f t="shared" si="6"/>
        <v>1873</v>
      </c>
      <c r="L15" s="7">
        <f t="shared" si="6"/>
        <v>1877</v>
      </c>
      <c r="M15" s="7">
        <f t="shared" si="6"/>
        <v>1832</v>
      </c>
      <c r="N15" s="7">
        <f t="shared" si="6"/>
        <v>1870</v>
      </c>
      <c r="O15" s="7">
        <f t="shared" si="6"/>
        <v>1857</v>
      </c>
      <c r="P15" s="7">
        <f t="shared" si="6"/>
        <v>1925</v>
      </c>
      <c r="Q15" s="7">
        <f t="shared" si="6"/>
        <v>1932</v>
      </c>
      <c r="R15" s="7">
        <f t="shared" si="6"/>
        <v>2007</v>
      </c>
      <c r="S15" s="7">
        <f t="shared" si="6"/>
        <v>2028</v>
      </c>
      <c r="T15" s="7">
        <f t="shared" si="6"/>
        <v>1990</v>
      </c>
      <c r="U15" s="7">
        <f t="shared" si="6"/>
        <v>2011</v>
      </c>
      <c r="V15" s="7">
        <f t="shared" si="6"/>
        <v>1924</v>
      </c>
      <c r="W15" s="7">
        <f t="shared" si="6"/>
        <v>1905</v>
      </c>
      <c r="X15" s="7">
        <f t="shared" si="6"/>
        <v>2026</v>
      </c>
      <c r="Y15" s="7">
        <f t="shared" si="6"/>
        <v>2114</v>
      </c>
      <c r="Z15" s="7">
        <f t="shared" si="6"/>
        <v>2074</v>
      </c>
      <c r="AA15" s="7">
        <f t="shared" si="6"/>
        <v>2094</v>
      </c>
      <c r="AB15" s="7">
        <f t="shared" si="6"/>
        <v>2043</v>
      </c>
      <c r="AC15" s="7">
        <f t="shared" si="6"/>
        <v>1999</v>
      </c>
      <c r="AD15" s="7">
        <f t="shared" si="6"/>
        <v>2006</v>
      </c>
      <c r="AE15" s="7">
        <f t="shared" si="6"/>
        <v>2049</v>
      </c>
      <c r="AF15" s="7">
        <f t="shared" si="6"/>
        <v>2060</v>
      </c>
      <c r="AG15" s="7">
        <f t="shared" si="6"/>
        <v>1982</v>
      </c>
      <c r="AH15" s="7">
        <f t="shared" si="6"/>
        <v>1987</v>
      </c>
      <c r="AI15" s="7">
        <f t="shared" si="6"/>
        <v>2024</v>
      </c>
    </row>
    <row r="16" spans="1:35" s="3" customFormat="1" ht="24.95" customHeight="1">
      <c r="A16" s="56" t="s">
        <v>47</v>
      </c>
      <c r="B16" s="7" t="s">
        <v>38</v>
      </c>
      <c r="C16" s="8">
        <f>'2月 '!C16+D16</f>
        <v>4181700</v>
      </c>
      <c r="D16" s="7">
        <f t="shared" si="5"/>
        <v>1519080</v>
      </c>
      <c r="E16" s="7">
        <v>48520</v>
      </c>
      <c r="F16" s="7">
        <v>48520</v>
      </c>
      <c r="G16" s="7">
        <v>47900</v>
      </c>
      <c r="H16" s="7">
        <v>46960</v>
      </c>
      <c r="I16" s="7">
        <v>48020</v>
      </c>
      <c r="J16" s="7">
        <v>48740</v>
      </c>
      <c r="K16" s="7">
        <v>47780</v>
      </c>
      <c r="L16" s="7">
        <v>48140</v>
      </c>
      <c r="M16" s="7">
        <v>45700</v>
      </c>
      <c r="N16" s="7">
        <v>47080</v>
      </c>
      <c r="O16" s="7">
        <v>48060</v>
      </c>
      <c r="P16" s="7">
        <v>49060</v>
      </c>
      <c r="Q16" s="7">
        <v>49220</v>
      </c>
      <c r="R16" s="7">
        <v>47740</v>
      </c>
      <c r="S16" s="7">
        <v>46000</v>
      </c>
      <c r="T16" s="7">
        <v>48520</v>
      </c>
      <c r="U16" s="7">
        <v>49840</v>
      </c>
      <c r="V16" s="7">
        <v>49960</v>
      </c>
      <c r="W16" s="7">
        <v>50540</v>
      </c>
      <c r="X16" s="7">
        <v>51280</v>
      </c>
      <c r="Y16" s="7">
        <v>49720</v>
      </c>
      <c r="Z16" s="7">
        <v>50940</v>
      </c>
      <c r="AA16" s="7">
        <v>49440</v>
      </c>
      <c r="AB16" s="7">
        <v>50580</v>
      </c>
      <c r="AC16" s="7">
        <v>48380</v>
      </c>
      <c r="AD16" s="7">
        <v>50020</v>
      </c>
      <c r="AE16" s="7">
        <v>50420</v>
      </c>
      <c r="AF16" s="7">
        <v>49780</v>
      </c>
      <c r="AG16" s="7">
        <v>51960</v>
      </c>
      <c r="AH16" s="7">
        <v>49980</v>
      </c>
      <c r="AI16" s="7">
        <v>50280</v>
      </c>
    </row>
    <row r="17" spans="1:35" s="3" customFormat="1" ht="24.95" customHeight="1">
      <c r="A17" s="56"/>
      <c r="B17" s="6" t="s">
        <v>48</v>
      </c>
      <c r="C17" s="11">
        <f>SUM(C16/C8)</f>
        <v>0.15332240713649314</v>
      </c>
      <c r="D17" s="11">
        <f>SUM(D16/D8)</f>
        <v>0.15118382945690145</v>
      </c>
      <c r="E17" s="11">
        <f>SUM(E16/E8)</f>
        <v>0.15671834625322997</v>
      </c>
      <c r="F17" s="11">
        <f>SUM(F16/F8)</f>
        <v>0.17060478199718707</v>
      </c>
      <c r="G17" s="11">
        <f>SUM(G16/G8)</f>
        <v>0.16017924023542002</v>
      </c>
      <c r="H17" s="11">
        <f>SUM(H16/H8)</f>
        <v>0.1463475442533034</v>
      </c>
      <c r="I17" s="11">
        <f>SUM(I16/I8)</f>
        <v>0.15296890927624873</v>
      </c>
      <c r="J17" s="11">
        <f>SUM(J16/J8)</f>
        <v>0.15609787343069434</v>
      </c>
      <c r="K17" s="11">
        <f>SUM(K16/K8)</f>
        <v>0.15517017407118733</v>
      </c>
      <c r="L17" s="11">
        <f>SUM(L16/L8)</f>
        <v>0.15346850293292527</v>
      </c>
      <c r="M17" s="11">
        <f>SUM(M16/M8)</f>
        <v>0.14876302083333334</v>
      </c>
      <c r="N17" s="11">
        <f>SUM(N16/N8)</f>
        <v>0.15031928480204343</v>
      </c>
      <c r="O17" s="11">
        <f>SUM(O16/O8)</f>
        <v>0.15918124006359299</v>
      </c>
      <c r="P17" s="11">
        <f>SUM(P16/P8)</f>
        <v>0.15289204687110447</v>
      </c>
      <c r="Q17" s="11">
        <f>SUM(Q16/Q8)</f>
        <v>0.15079656862745097</v>
      </c>
      <c r="R17" s="11">
        <f>SUM(R16/R8)</f>
        <v>0.14289990421455939</v>
      </c>
      <c r="S17" s="11">
        <f>SUM(S16/S8)</f>
        <v>0.13574126534466477</v>
      </c>
      <c r="T17" s="11">
        <f>SUM(T16/T8)</f>
        <v>0.1435842803030303</v>
      </c>
      <c r="U17" s="11">
        <f>SUM(U16/U8)</f>
        <v>0.14812173086067523</v>
      </c>
      <c r="V17" s="11">
        <f>SUM(V16/V8)</f>
        <v>0.1569884364002011</v>
      </c>
      <c r="W17" s="11">
        <f>SUM(W16/W8)</f>
        <v>0.16186266974122471</v>
      </c>
      <c r="X17" s="11">
        <f>SUM(X16/X8)</f>
        <v>0.15641776476329916</v>
      </c>
      <c r="Y17" s="11">
        <f>SUM(Y16/Y8)</f>
        <v>0.14336793540945791</v>
      </c>
      <c r="Z17" s="11">
        <f>SUM(Z16/Z8)</f>
        <v>0.15</v>
      </c>
      <c r="AA17" s="11">
        <f>SUM(AA16/AA8)</f>
        <v>0.14285714285714285</v>
      </c>
      <c r="AB17" s="11">
        <f>SUM(AB16/AB8)</f>
        <v>0.15053571428571427</v>
      </c>
      <c r="AC17" s="11">
        <f>SUM(AC16/AC8)</f>
        <v>0.14639312515129507</v>
      </c>
      <c r="AD17" s="11">
        <f>SUM(AD16/AD8)</f>
        <v>0.14997601343247782</v>
      </c>
      <c r="AE17" s="11">
        <f>SUM(AE16/AE8)</f>
        <v>0.14691142191142192</v>
      </c>
      <c r="AF17" s="11">
        <f>SUM(AF16/AF8)</f>
        <v>0.14611094804813618</v>
      </c>
      <c r="AG17" s="11">
        <f>SUM(AG16/AG8)</f>
        <v>0.15597982708933716</v>
      </c>
      <c r="AH17" s="11">
        <f>SUM(AH16/AH8)</f>
        <v>0.14939024390243902</v>
      </c>
      <c r="AI17" s="11">
        <f>SUM(AI16/AI8)</f>
        <v>0.15381791483113069</v>
      </c>
    </row>
    <row r="18" spans="1:35" s="3" customFormat="1" ht="24.95" customHeight="1">
      <c r="A18" s="13"/>
      <c r="B18" s="13" t="s">
        <v>49</v>
      </c>
      <c r="C18" s="7"/>
      <c r="D18" s="7">
        <f>COUNT(E18:AI18)</f>
        <v>31</v>
      </c>
      <c r="E18" s="14">
        <v>5800</v>
      </c>
      <c r="F18" s="14">
        <v>5700</v>
      </c>
      <c r="G18" s="14">
        <v>5700</v>
      </c>
      <c r="H18" s="14">
        <v>5600</v>
      </c>
      <c r="I18" s="14">
        <v>5300</v>
      </c>
      <c r="J18" s="7">
        <v>5000</v>
      </c>
      <c r="K18" s="14">
        <v>4800</v>
      </c>
      <c r="L18" s="7">
        <v>4600</v>
      </c>
      <c r="M18" s="7">
        <v>4200</v>
      </c>
      <c r="N18" s="7">
        <v>4100</v>
      </c>
      <c r="O18" s="7">
        <v>3700</v>
      </c>
      <c r="P18" s="7">
        <v>3400</v>
      </c>
      <c r="Q18" s="7">
        <v>3200</v>
      </c>
      <c r="R18" s="7">
        <v>2800</v>
      </c>
      <c r="S18" s="7">
        <v>2700</v>
      </c>
      <c r="T18" s="7">
        <v>2500</v>
      </c>
      <c r="U18" s="7">
        <v>2400</v>
      </c>
      <c r="V18" s="7">
        <v>2200</v>
      </c>
      <c r="W18" s="7">
        <v>2100</v>
      </c>
      <c r="X18" s="7">
        <v>2000</v>
      </c>
      <c r="Y18" s="7">
        <v>1900</v>
      </c>
      <c r="Z18" s="7">
        <v>1700</v>
      </c>
      <c r="AA18" s="7">
        <v>1700</v>
      </c>
      <c r="AB18" s="7">
        <v>1400</v>
      </c>
      <c r="AC18" s="7">
        <v>1200</v>
      </c>
      <c r="AD18" s="7">
        <v>900</v>
      </c>
      <c r="AE18" s="7">
        <v>800</v>
      </c>
      <c r="AF18" s="7">
        <v>700</v>
      </c>
      <c r="AG18" s="7">
        <v>500</v>
      </c>
      <c r="AH18" s="7">
        <v>2400</v>
      </c>
      <c r="AI18" s="7">
        <v>2300</v>
      </c>
    </row>
    <row r="19" spans="1:35" s="3" customFormat="1" ht="24.95" customHeight="1">
      <c r="A19" s="61" t="s">
        <v>50</v>
      </c>
      <c r="B19" s="13" t="s">
        <v>51</v>
      </c>
      <c r="C19" s="7">
        <f>'2月 '!C19+D19</f>
        <v>7352.22</v>
      </c>
      <c r="D19" s="7">
        <f t="shared" ref="D19:D28" si="7">SUM(E19:AI19)</f>
        <v>0</v>
      </c>
      <c r="E19" s="15">
        <v>0</v>
      </c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28"/>
      <c r="T19" s="28"/>
      <c r="U19" s="28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</row>
    <row r="20" spans="1:35" s="3" customFormat="1" ht="24.95" customHeight="1">
      <c r="A20" s="62"/>
      <c r="B20" s="13" t="s">
        <v>52</v>
      </c>
      <c r="C20" s="7">
        <f>'2月 '!C20+D20</f>
        <v>25059.86</v>
      </c>
      <c r="D20" s="7">
        <f t="shared" si="7"/>
        <v>9720.2199999999993</v>
      </c>
      <c r="E20" s="15">
        <v>325.5</v>
      </c>
      <c r="F20" s="15">
        <v>332.3</v>
      </c>
      <c r="G20" s="15">
        <v>323.77999999999997</v>
      </c>
      <c r="H20" s="15">
        <v>324.10000000000002</v>
      </c>
      <c r="I20" s="15">
        <v>331.58</v>
      </c>
      <c r="J20" s="15">
        <v>254.12</v>
      </c>
      <c r="K20" s="15">
        <v>305.86</v>
      </c>
      <c r="L20" s="15">
        <v>393.78</v>
      </c>
      <c r="M20" s="15">
        <v>299.27999999999997</v>
      </c>
      <c r="N20" s="15">
        <v>336.2</v>
      </c>
      <c r="O20" s="15">
        <v>311.54000000000002</v>
      </c>
      <c r="P20" s="15">
        <v>277.12</v>
      </c>
      <c r="Q20" s="15">
        <v>330.1</v>
      </c>
      <c r="R20" s="15">
        <v>318.72000000000003</v>
      </c>
      <c r="S20" s="28">
        <v>370.96</v>
      </c>
      <c r="T20" s="28">
        <v>248.54</v>
      </c>
      <c r="U20" s="28">
        <v>338.82</v>
      </c>
      <c r="V20" s="15">
        <v>334.88</v>
      </c>
      <c r="W20" s="15">
        <v>322.48</v>
      </c>
      <c r="X20" s="15">
        <v>326.89999999999998</v>
      </c>
      <c r="Y20" s="15">
        <v>296.8</v>
      </c>
      <c r="Z20" s="15">
        <v>322.77999999999997</v>
      </c>
      <c r="AA20" s="15">
        <v>303.60000000000002</v>
      </c>
      <c r="AB20" s="15">
        <v>293.39999999999998</v>
      </c>
      <c r="AC20" s="15">
        <v>226.12</v>
      </c>
      <c r="AD20" s="15">
        <v>327.54000000000002</v>
      </c>
      <c r="AE20" s="15">
        <v>285.48</v>
      </c>
      <c r="AF20" s="15">
        <v>336.66</v>
      </c>
      <c r="AG20" s="15">
        <v>287.26</v>
      </c>
      <c r="AH20" s="15">
        <v>340.12</v>
      </c>
      <c r="AI20" s="15">
        <v>293.89999999999998</v>
      </c>
    </row>
    <row r="21" spans="1:35" s="3" customFormat="1" ht="24.95" customHeight="1">
      <c r="A21" s="62"/>
      <c r="B21" s="13" t="s">
        <v>53</v>
      </c>
      <c r="C21" s="7">
        <f>'2月 '!C21+D21</f>
        <v>0</v>
      </c>
      <c r="D21" s="7">
        <f t="shared" si="7"/>
        <v>0</v>
      </c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28"/>
      <c r="T21" s="28"/>
      <c r="U21" s="28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</row>
    <row r="22" spans="1:35" s="3" customFormat="1" ht="24.95" customHeight="1">
      <c r="A22" s="62"/>
      <c r="B22" s="13" t="s">
        <v>54</v>
      </c>
      <c r="C22" s="7">
        <f>'2月 '!C22+D22</f>
        <v>0</v>
      </c>
      <c r="D22" s="7">
        <f t="shared" si="7"/>
        <v>0</v>
      </c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28"/>
      <c r="T22" s="28"/>
      <c r="U22" s="28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</row>
    <row r="23" spans="1:35" s="3" customFormat="1" ht="22.15" customHeight="1">
      <c r="A23" s="62"/>
      <c r="B23" s="13" t="s">
        <v>55</v>
      </c>
      <c r="C23" s="7">
        <f>'2月 '!C23+D23</f>
        <v>0</v>
      </c>
      <c r="D23" s="7">
        <f t="shared" si="7"/>
        <v>0</v>
      </c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28"/>
      <c r="T23" s="28"/>
      <c r="U23" s="28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</row>
    <row r="24" spans="1:35" s="3" customFormat="1" ht="22.15" customHeight="1">
      <c r="A24" s="62"/>
      <c r="B24" s="13" t="s">
        <v>56</v>
      </c>
      <c r="C24" s="7">
        <f>'2月 '!C24+D24</f>
        <v>0</v>
      </c>
      <c r="D24" s="7">
        <f t="shared" si="7"/>
        <v>0</v>
      </c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28"/>
      <c r="T24" s="28"/>
      <c r="U24" s="28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</row>
    <row r="25" spans="1:35" s="3" customFormat="1" ht="21.75" customHeight="1">
      <c r="A25" s="62"/>
      <c r="B25" s="13" t="s">
        <v>57</v>
      </c>
      <c r="C25" s="7">
        <f>'2月 '!C25+D25</f>
        <v>26359.54</v>
      </c>
      <c r="D25" s="7">
        <f t="shared" si="7"/>
        <v>10511.460000000001</v>
      </c>
      <c r="E25" s="15">
        <v>323.62</v>
      </c>
      <c r="F25" s="15">
        <v>348.4</v>
      </c>
      <c r="G25" s="15">
        <v>394.76</v>
      </c>
      <c r="H25" s="15">
        <v>355.42</v>
      </c>
      <c r="I25" s="15">
        <v>345.06</v>
      </c>
      <c r="J25" s="15">
        <v>308.66000000000003</v>
      </c>
      <c r="K25" s="15">
        <v>342.84</v>
      </c>
      <c r="L25" s="15">
        <v>405.66</v>
      </c>
      <c r="M25" s="15">
        <v>229.86</v>
      </c>
      <c r="N25" s="15">
        <v>407.26</v>
      </c>
      <c r="O25" s="15">
        <v>297.22000000000003</v>
      </c>
      <c r="P25" s="15">
        <v>339.26</v>
      </c>
      <c r="Q25" s="15">
        <v>298</v>
      </c>
      <c r="R25" s="15">
        <v>397.04</v>
      </c>
      <c r="S25" s="28">
        <v>360.38</v>
      </c>
      <c r="T25" s="28">
        <v>276.2</v>
      </c>
      <c r="U25" s="28">
        <v>327.58</v>
      </c>
      <c r="V25" s="15">
        <v>404.26</v>
      </c>
      <c r="W25" s="15">
        <v>355.32</v>
      </c>
      <c r="X25" s="15">
        <v>345.62</v>
      </c>
      <c r="Y25" s="15">
        <v>351.46</v>
      </c>
      <c r="Z25" s="15">
        <v>354.64</v>
      </c>
      <c r="AA25" s="15">
        <v>397.64</v>
      </c>
      <c r="AB25" s="15">
        <v>273.45999999999998</v>
      </c>
      <c r="AC25" s="15">
        <v>293.83999999999997</v>
      </c>
      <c r="AD25" s="15">
        <v>333.38</v>
      </c>
      <c r="AE25" s="15">
        <v>392.84</v>
      </c>
      <c r="AF25" s="15">
        <v>275.38</v>
      </c>
      <c r="AG25" s="15">
        <v>295.74</v>
      </c>
      <c r="AH25" s="15">
        <v>345.62</v>
      </c>
      <c r="AI25" s="15">
        <v>335.04</v>
      </c>
    </row>
    <row r="26" spans="1:35" s="3" customFormat="1" ht="18" customHeight="1">
      <c r="A26" s="62"/>
      <c r="B26" s="13" t="s">
        <v>58</v>
      </c>
      <c r="C26" s="7">
        <f>'2月 '!C26+D26</f>
        <v>3487.3199999999997</v>
      </c>
      <c r="D26" s="7">
        <f t="shared" si="7"/>
        <v>1715.04</v>
      </c>
      <c r="E26" s="15">
        <v>82.58</v>
      </c>
      <c r="F26" s="15">
        <v>76.78</v>
      </c>
      <c r="G26" s="15">
        <v>90.78</v>
      </c>
      <c r="H26" s="15">
        <v>71.08</v>
      </c>
      <c r="I26" s="15">
        <v>72.36</v>
      </c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28">
        <v>84.8</v>
      </c>
      <c r="U26" s="28">
        <v>103.52</v>
      </c>
      <c r="V26" s="15">
        <v>85.38</v>
      </c>
      <c r="W26" s="15">
        <v>86.14</v>
      </c>
      <c r="X26" s="15">
        <v>84.1</v>
      </c>
      <c r="Y26" s="15">
        <v>75.84</v>
      </c>
      <c r="Z26" s="15">
        <v>80.319999999999993</v>
      </c>
      <c r="AA26" s="15">
        <v>89.36</v>
      </c>
      <c r="AB26" s="15">
        <v>73.78</v>
      </c>
      <c r="AC26" s="15">
        <v>76.64</v>
      </c>
      <c r="AD26" s="15">
        <v>68.040000000000006</v>
      </c>
      <c r="AE26" s="15">
        <v>78.64</v>
      </c>
      <c r="AF26" s="15">
        <v>88.3</v>
      </c>
      <c r="AG26" s="15">
        <v>86.1</v>
      </c>
      <c r="AH26" s="15">
        <v>82.52</v>
      </c>
      <c r="AI26" s="15">
        <v>77.98</v>
      </c>
    </row>
    <row r="27" spans="1:35" s="3" customFormat="1" ht="18" customHeight="1">
      <c r="A27" s="62"/>
      <c r="B27" s="16" t="s">
        <v>59</v>
      </c>
      <c r="C27" s="7">
        <f>'2月 '!C27+D27</f>
        <v>0</v>
      </c>
      <c r="D27" s="7">
        <f t="shared" si="7"/>
        <v>0</v>
      </c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28"/>
      <c r="U27" s="28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</row>
    <row r="28" spans="1:35" s="3" customFormat="1" ht="18" customHeight="1">
      <c r="A28" s="62"/>
      <c r="B28" s="16" t="s">
        <v>60</v>
      </c>
      <c r="C28" s="7">
        <f>'2月 '!C28+D28</f>
        <v>0</v>
      </c>
      <c r="D28" s="7">
        <f t="shared" si="7"/>
        <v>0</v>
      </c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28"/>
      <c r="U28" s="28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>
        <v>0</v>
      </c>
      <c r="AH28" s="15">
        <v>0</v>
      </c>
      <c r="AI28" s="15">
        <v>0</v>
      </c>
    </row>
    <row r="29" spans="1:35" s="3" customFormat="1" ht="18" hidden="1" customHeight="1">
      <c r="A29" s="63"/>
      <c r="B29" s="16"/>
      <c r="C29" s="7"/>
      <c r="D29" s="7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</row>
    <row r="30" spans="1:35" s="3" customFormat="1" ht="26.1" customHeight="1">
      <c r="A30" s="12"/>
      <c r="B30" s="12" t="s">
        <v>61</v>
      </c>
      <c r="C30" s="7">
        <f>SUM(C19:C29)</f>
        <v>62258.94</v>
      </c>
      <c r="D30" s="7">
        <f>SUM(D19:D29)</f>
        <v>21946.720000000001</v>
      </c>
      <c r="E30" s="7">
        <f>SUM(E19:E29)</f>
        <v>731.7</v>
      </c>
      <c r="F30" s="7">
        <f t="shared" ref="F30:AI30" si="8">SUM(F19:F29)</f>
        <v>757.48</v>
      </c>
      <c r="G30" s="7">
        <f t="shared" si="8"/>
        <v>809.31999999999994</v>
      </c>
      <c r="H30" s="7">
        <f t="shared" si="8"/>
        <v>750.6</v>
      </c>
      <c r="I30" s="7">
        <f t="shared" si="8"/>
        <v>749</v>
      </c>
      <c r="J30" s="7">
        <f t="shared" si="8"/>
        <v>562.78</v>
      </c>
      <c r="K30" s="7">
        <f t="shared" si="8"/>
        <v>648.70000000000005</v>
      </c>
      <c r="L30" s="7">
        <f t="shared" si="8"/>
        <v>799.44</v>
      </c>
      <c r="M30" s="7">
        <f t="shared" si="8"/>
        <v>529.14</v>
      </c>
      <c r="N30" s="7">
        <f t="shared" si="8"/>
        <v>743.46</v>
      </c>
      <c r="O30" s="7">
        <f t="shared" si="8"/>
        <v>608.76</v>
      </c>
      <c r="P30" s="7">
        <f t="shared" si="8"/>
        <v>616.38</v>
      </c>
      <c r="Q30" s="7">
        <f t="shared" si="8"/>
        <v>628.1</v>
      </c>
      <c r="R30" s="7">
        <f t="shared" si="8"/>
        <v>715.76</v>
      </c>
      <c r="S30" s="7">
        <f t="shared" si="8"/>
        <v>731.33999999999992</v>
      </c>
      <c r="T30" s="7">
        <f t="shared" si="8"/>
        <v>609.54</v>
      </c>
      <c r="U30" s="7">
        <f t="shared" si="8"/>
        <v>769.92</v>
      </c>
      <c r="V30" s="7">
        <f t="shared" si="8"/>
        <v>824.52</v>
      </c>
      <c r="W30" s="7">
        <f t="shared" si="8"/>
        <v>763.93999999999994</v>
      </c>
      <c r="X30" s="7">
        <f t="shared" si="8"/>
        <v>756.62</v>
      </c>
      <c r="Y30" s="7">
        <f t="shared" si="8"/>
        <v>724.1</v>
      </c>
      <c r="Z30" s="7">
        <f t="shared" si="8"/>
        <v>757.74</v>
      </c>
      <c r="AA30" s="7">
        <f t="shared" si="8"/>
        <v>790.6</v>
      </c>
      <c r="AB30" s="7">
        <f t="shared" si="8"/>
        <v>640.63999999999987</v>
      </c>
      <c r="AC30" s="7">
        <f t="shared" si="8"/>
        <v>596.6</v>
      </c>
      <c r="AD30" s="7">
        <f t="shared" si="8"/>
        <v>728.96</v>
      </c>
      <c r="AE30" s="7">
        <f t="shared" si="8"/>
        <v>756.95999999999992</v>
      </c>
      <c r="AF30" s="7">
        <f t="shared" si="8"/>
        <v>700.33999999999992</v>
      </c>
      <c r="AG30" s="7">
        <f t="shared" si="8"/>
        <v>669.1</v>
      </c>
      <c r="AH30" s="7">
        <f t="shared" si="8"/>
        <v>768.26</v>
      </c>
      <c r="AI30" s="7">
        <f t="shared" si="8"/>
        <v>706.92000000000007</v>
      </c>
    </row>
    <row r="31" spans="1:35" s="3" customFormat="1" ht="24.95" customHeight="1">
      <c r="A31" s="57" t="s">
        <v>62</v>
      </c>
      <c r="B31" s="7" t="s">
        <v>63</v>
      </c>
      <c r="C31" s="7">
        <f>'2月 '!C31+D31</f>
        <v>13285.380000000001</v>
      </c>
      <c r="D31" s="7">
        <f t="shared" ref="D31:D37" si="9">SUM(E31:AI31)</f>
        <v>4844.2000000000007</v>
      </c>
      <c r="E31" s="7">
        <v>159.82</v>
      </c>
      <c r="F31" s="7">
        <v>162.30000000000001</v>
      </c>
      <c r="G31" s="7">
        <v>125.22</v>
      </c>
      <c r="H31" s="29">
        <v>182.48</v>
      </c>
      <c r="I31" s="7">
        <v>196.3</v>
      </c>
      <c r="J31" s="7">
        <v>164.4</v>
      </c>
      <c r="K31" s="7">
        <v>148.63999999999999</v>
      </c>
      <c r="L31" s="7">
        <v>157.9</v>
      </c>
      <c r="M31" s="7">
        <v>159.56</v>
      </c>
      <c r="N31" s="7">
        <v>202.36</v>
      </c>
      <c r="O31" s="7">
        <v>176.5</v>
      </c>
      <c r="P31" s="7">
        <v>151.66</v>
      </c>
      <c r="Q31" s="7">
        <v>108.66</v>
      </c>
      <c r="R31" s="7">
        <v>102.26</v>
      </c>
      <c r="S31" s="7">
        <v>174.76</v>
      </c>
      <c r="T31" s="7">
        <v>117.64</v>
      </c>
      <c r="U31" s="29">
        <v>204.4</v>
      </c>
      <c r="V31" s="7">
        <v>120.76</v>
      </c>
      <c r="W31" s="7">
        <v>161.91999999999999</v>
      </c>
      <c r="X31" s="7">
        <v>109.94</v>
      </c>
      <c r="Y31" s="7">
        <v>121.78</v>
      </c>
      <c r="Z31" s="7">
        <v>179.18</v>
      </c>
      <c r="AA31" s="7">
        <v>164.42</v>
      </c>
      <c r="AB31" s="29">
        <v>148.44</v>
      </c>
      <c r="AC31" s="29">
        <v>211.12</v>
      </c>
      <c r="AD31" s="29">
        <v>175.3</v>
      </c>
      <c r="AE31" s="29">
        <v>155.84</v>
      </c>
      <c r="AF31" s="29">
        <v>171.2</v>
      </c>
      <c r="AG31" s="29">
        <v>170.1</v>
      </c>
      <c r="AH31" s="29">
        <v>142.44</v>
      </c>
      <c r="AI31" s="7">
        <v>116.9</v>
      </c>
    </row>
    <row r="32" spans="1:35" s="3" customFormat="1" ht="24.95" customHeight="1">
      <c r="A32" s="57"/>
      <c r="B32" s="7" t="s">
        <v>64</v>
      </c>
      <c r="C32" s="7">
        <f>'2月 '!C32+D32</f>
        <v>1516.8200000000002</v>
      </c>
      <c r="D32" s="7">
        <f t="shared" si="9"/>
        <v>488.64000000000004</v>
      </c>
      <c r="E32" s="7">
        <v>25.06</v>
      </c>
      <c r="F32" s="7">
        <v>24.02</v>
      </c>
      <c r="G32" s="7">
        <v>22.74</v>
      </c>
      <c r="H32" s="20">
        <v>23.02</v>
      </c>
      <c r="I32" s="7">
        <v>12.92</v>
      </c>
      <c r="J32" s="7">
        <v>34.82</v>
      </c>
      <c r="K32" s="7">
        <v>13.08</v>
      </c>
      <c r="L32" s="7">
        <v>32.299999999999997</v>
      </c>
      <c r="M32" s="7">
        <v>12.96</v>
      </c>
      <c r="N32" s="7">
        <v>11.68</v>
      </c>
      <c r="O32" s="7">
        <v>11.18</v>
      </c>
      <c r="P32" s="7">
        <v>21.72</v>
      </c>
      <c r="Q32" s="7">
        <v>21.4</v>
      </c>
      <c r="R32" s="7">
        <v>33.58</v>
      </c>
      <c r="S32" s="7">
        <v>22.26</v>
      </c>
      <c r="T32" s="7">
        <v>12.1</v>
      </c>
      <c r="U32" s="7">
        <v>20.239999999999998</v>
      </c>
      <c r="V32" s="7">
        <v>12.84</v>
      </c>
      <c r="W32" s="7">
        <v>0</v>
      </c>
      <c r="X32" s="7">
        <v>0</v>
      </c>
      <c r="Y32" s="7">
        <v>22.94</v>
      </c>
      <c r="Z32" s="7">
        <v>0</v>
      </c>
      <c r="AA32" s="7">
        <v>22.54</v>
      </c>
      <c r="AB32" s="20">
        <v>0</v>
      </c>
      <c r="AC32" s="20">
        <v>22.42</v>
      </c>
      <c r="AD32" s="20">
        <v>0</v>
      </c>
      <c r="AE32" s="20">
        <v>15.6</v>
      </c>
      <c r="AF32" s="20">
        <v>17.62</v>
      </c>
      <c r="AG32" s="20">
        <v>0</v>
      </c>
      <c r="AH32" s="20">
        <v>0</v>
      </c>
      <c r="AI32" s="7">
        <v>19.600000000000001</v>
      </c>
    </row>
    <row r="33" spans="1:35" s="3" customFormat="1" ht="24.95" customHeight="1">
      <c r="A33" s="57"/>
      <c r="B33" s="6" t="s">
        <v>65</v>
      </c>
      <c r="C33" s="7">
        <f>'2月 '!C33+D33</f>
        <v>3007</v>
      </c>
      <c r="D33" s="7">
        <f t="shared" si="9"/>
        <v>1868</v>
      </c>
      <c r="E33" s="7">
        <v>287</v>
      </c>
      <c r="F33" s="7">
        <v>0</v>
      </c>
      <c r="G33" s="7">
        <v>0</v>
      </c>
      <c r="H33" s="7">
        <v>0</v>
      </c>
      <c r="I33" s="7">
        <v>179</v>
      </c>
      <c r="J33" s="7">
        <v>0</v>
      </c>
      <c r="K33" s="7">
        <v>0</v>
      </c>
      <c r="L33" s="7">
        <v>140</v>
      </c>
      <c r="M33" s="7">
        <v>140</v>
      </c>
      <c r="N33" s="7">
        <v>0</v>
      </c>
      <c r="O33" s="7">
        <v>216</v>
      </c>
      <c r="P33" s="7">
        <v>0</v>
      </c>
      <c r="Q33" s="7"/>
      <c r="R33" s="7">
        <v>225</v>
      </c>
      <c r="S33" s="7">
        <v>0</v>
      </c>
      <c r="T33" s="7">
        <v>0</v>
      </c>
      <c r="U33" s="7">
        <v>0</v>
      </c>
      <c r="V33" s="7">
        <v>145</v>
      </c>
      <c r="W33" s="7">
        <v>0</v>
      </c>
      <c r="X33" s="7">
        <v>0</v>
      </c>
      <c r="Y33" s="7">
        <v>0</v>
      </c>
      <c r="Z33" s="7">
        <v>114</v>
      </c>
      <c r="AA33" s="7">
        <v>0</v>
      </c>
      <c r="AB33" s="7">
        <v>34</v>
      </c>
      <c r="AC33" s="7">
        <v>0</v>
      </c>
      <c r="AD33" s="7">
        <v>187</v>
      </c>
      <c r="AE33" s="7">
        <v>0</v>
      </c>
      <c r="AF33" s="7">
        <v>0</v>
      </c>
      <c r="AG33" s="7">
        <v>0</v>
      </c>
      <c r="AH33" s="7">
        <v>0</v>
      </c>
      <c r="AI33" s="7">
        <v>201</v>
      </c>
    </row>
    <row r="34" spans="1:35" s="3" customFormat="1" ht="24.95" customHeight="1">
      <c r="A34" s="57"/>
      <c r="B34" s="7" t="s">
        <v>66</v>
      </c>
      <c r="C34" s="7">
        <f>'2月 '!C34+D34</f>
        <v>14486</v>
      </c>
      <c r="D34" s="7">
        <f t="shared" si="9"/>
        <v>5021</v>
      </c>
      <c r="E34" s="7">
        <v>124</v>
      </c>
      <c r="F34" s="7">
        <v>122</v>
      </c>
      <c r="G34" s="7">
        <v>124</v>
      </c>
      <c r="H34" s="7">
        <v>119</v>
      </c>
      <c r="I34" s="7">
        <v>121</v>
      </c>
      <c r="J34" s="7">
        <v>123</v>
      </c>
      <c r="K34" s="7">
        <v>117</v>
      </c>
      <c r="L34" s="7">
        <v>106</v>
      </c>
      <c r="M34" s="7">
        <v>110</v>
      </c>
      <c r="N34" s="7">
        <v>94</v>
      </c>
      <c r="O34" s="7">
        <v>102</v>
      </c>
      <c r="P34" s="7">
        <v>95</v>
      </c>
      <c r="Q34" s="7">
        <v>97</v>
      </c>
      <c r="R34" s="7">
        <v>95</v>
      </c>
      <c r="S34" s="7">
        <v>92</v>
      </c>
      <c r="T34" s="7">
        <v>100</v>
      </c>
      <c r="U34" s="7">
        <v>185</v>
      </c>
      <c r="V34" s="7">
        <v>203</v>
      </c>
      <c r="W34" s="7">
        <v>203</v>
      </c>
      <c r="X34" s="7">
        <v>190</v>
      </c>
      <c r="Y34" s="7">
        <v>212</v>
      </c>
      <c r="Z34" s="7">
        <v>220</v>
      </c>
      <c r="AA34" s="7">
        <v>214</v>
      </c>
      <c r="AB34" s="7">
        <v>243</v>
      </c>
      <c r="AC34" s="7">
        <v>244</v>
      </c>
      <c r="AD34" s="7">
        <v>222</v>
      </c>
      <c r="AE34" s="7">
        <v>252</v>
      </c>
      <c r="AF34" s="7">
        <v>260</v>
      </c>
      <c r="AG34" s="7">
        <v>242</v>
      </c>
      <c r="AH34" s="7">
        <v>238</v>
      </c>
      <c r="AI34" s="7">
        <v>152</v>
      </c>
    </row>
    <row r="35" spans="1:35" s="3" customFormat="1" ht="24.95" customHeight="1">
      <c r="A35" s="58" t="s">
        <v>67</v>
      </c>
      <c r="B35" s="7" t="s">
        <v>68</v>
      </c>
      <c r="C35" s="7">
        <f>'2月 '!C35+D35</f>
        <v>147.31200000000001</v>
      </c>
      <c r="D35" s="7">
        <f t="shared" si="9"/>
        <v>54.965000000000003</v>
      </c>
      <c r="E35" s="46">
        <v>1.609</v>
      </c>
      <c r="F35" s="46">
        <v>1.7390000000000001</v>
      </c>
      <c r="G35" s="46">
        <v>1.742</v>
      </c>
      <c r="H35" s="47">
        <v>1.6859999999999999</v>
      </c>
      <c r="I35" s="47">
        <v>1.736</v>
      </c>
      <c r="J35" s="47">
        <v>1.7729999999999999</v>
      </c>
      <c r="K35" s="47">
        <v>1.7889999999999999</v>
      </c>
      <c r="L35" s="47">
        <v>1.7430000000000001</v>
      </c>
      <c r="M35" s="47">
        <v>1.704</v>
      </c>
      <c r="N35" s="47">
        <v>1.738</v>
      </c>
      <c r="O35" s="47">
        <v>1.67</v>
      </c>
      <c r="P35" s="47">
        <v>1.754</v>
      </c>
      <c r="Q35" s="47">
        <v>1.81</v>
      </c>
      <c r="R35" s="47">
        <v>1.915</v>
      </c>
      <c r="S35" s="47">
        <v>1.87</v>
      </c>
      <c r="T35" s="49">
        <v>1.7929999999999999</v>
      </c>
      <c r="U35" s="47">
        <v>1.7789999999999999</v>
      </c>
      <c r="V35" s="47">
        <v>1.74</v>
      </c>
      <c r="W35" s="47">
        <v>1.782</v>
      </c>
      <c r="X35" s="47">
        <v>1.714</v>
      </c>
      <c r="Y35" s="47">
        <v>1.728</v>
      </c>
      <c r="Z35" s="47">
        <v>1.774</v>
      </c>
      <c r="AA35" s="47">
        <v>1.796</v>
      </c>
      <c r="AB35" s="47">
        <v>1.8480000000000001</v>
      </c>
      <c r="AC35" s="47">
        <v>1.8280000000000001</v>
      </c>
      <c r="AD35" s="47">
        <v>1.8879999999999999</v>
      </c>
      <c r="AE35" s="47">
        <v>1.879</v>
      </c>
      <c r="AF35" s="50">
        <v>1.6970000000000001</v>
      </c>
      <c r="AG35" s="47">
        <v>1.796</v>
      </c>
      <c r="AH35" s="47">
        <v>1.837</v>
      </c>
      <c r="AI35" s="47">
        <v>1.8080000000000001</v>
      </c>
    </row>
    <row r="36" spans="1:35" s="3" customFormat="1" ht="24.95" customHeight="1">
      <c r="A36" s="59"/>
      <c r="B36" s="7" t="s">
        <v>69</v>
      </c>
      <c r="C36" s="7">
        <f>'2月 '!C36+D36</f>
        <v>501.25099999999998</v>
      </c>
      <c r="D36" s="7">
        <f t="shared" si="9"/>
        <v>186</v>
      </c>
      <c r="E36" s="48">
        <v>6</v>
      </c>
      <c r="F36" s="48">
        <v>6</v>
      </c>
      <c r="G36" s="48">
        <v>6</v>
      </c>
      <c r="H36" s="48">
        <v>6</v>
      </c>
      <c r="I36" s="48">
        <v>6</v>
      </c>
      <c r="J36" s="48">
        <v>6</v>
      </c>
      <c r="K36" s="48">
        <v>6</v>
      </c>
      <c r="L36" s="48">
        <v>6</v>
      </c>
      <c r="M36" s="48">
        <v>6</v>
      </c>
      <c r="N36" s="48">
        <v>6</v>
      </c>
      <c r="O36" s="48">
        <v>6</v>
      </c>
      <c r="P36" s="48">
        <v>6</v>
      </c>
      <c r="Q36" s="48">
        <v>6</v>
      </c>
      <c r="R36" s="48">
        <v>6</v>
      </c>
      <c r="S36" s="48">
        <v>6</v>
      </c>
      <c r="T36" s="48">
        <v>6</v>
      </c>
      <c r="U36" s="48">
        <v>6</v>
      </c>
      <c r="V36" s="48">
        <v>6</v>
      </c>
      <c r="W36" s="48">
        <v>6</v>
      </c>
      <c r="X36" s="48">
        <v>6</v>
      </c>
      <c r="Y36" s="48">
        <v>6</v>
      </c>
      <c r="Z36" s="48">
        <v>6</v>
      </c>
      <c r="AA36" s="48">
        <v>6</v>
      </c>
      <c r="AB36" s="48">
        <v>6</v>
      </c>
      <c r="AC36" s="48">
        <v>6</v>
      </c>
      <c r="AD36" s="48">
        <v>6</v>
      </c>
      <c r="AE36" s="48">
        <v>6</v>
      </c>
      <c r="AF36" s="48">
        <v>6</v>
      </c>
      <c r="AG36" s="48">
        <v>6</v>
      </c>
      <c r="AH36" s="48">
        <v>6</v>
      </c>
      <c r="AI36" s="48">
        <v>6</v>
      </c>
    </row>
    <row r="37" spans="1:35" s="3" customFormat="1" ht="24.95" customHeight="1">
      <c r="A37" s="60"/>
      <c r="B37" s="7" t="s">
        <v>70</v>
      </c>
      <c r="C37" s="7">
        <f>'2月 '!C37+D37</f>
        <v>24.927</v>
      </c>
      <c r="D37" s="7">
        <f t="shared" si="9"/>
        <v>9.3000000000000007</v>
      </c>
      <c r="E37" s="7">
        <v>0.3</v>
      </c>
      <c r="F37" s="7">
        <v>0.3</v>
      </c>
      <c r="G37" s="7">
        <v>0.3</v>
      </c>
      <c r="H37" s="7">
        <v>0.3</v>
      </c>
      <c r="I37" s="7">
        <v>0.3</v>
      </c>
      <c r="J37" s="7">
        <v>0.3</v>
      </c>
      <c r="K37" s="7">
        <v>0.3</v>
      </c>
      <c r="L37" s="7">
        <v>0.3</v>
      </c>
      <c r="M37" s="7">
        <v>0.3</v>
      </c>
      <c r="N37" s="7">
        <v>0.3</v>
      </c>
      <c r="O37" s="7">
        <v>0.3</v>
      </c>
      <c r="P37" s="7">
        <v>0.3</v>
      </c>
      <c r="Q37" s="7">
        <v>0.3</v>
      </c>
      <c r="R37" s="7">
        <v>0.3</v>
      </c>
      <c r="S37" s="7">
        <v>0.3</v>
      </c>
      <c r="T37" s="7">
        <v>0.3</v>
      </c>
      <c r="U37" s="7">
        <v>0.3</v>
      </c>
      <c r="V37" s="7">
        <v>0.3</v>
      </c>
      <c r="W37" s="7">
        <v>0.3</v>
      </c>
      <c r="X37" s="7">
        <v>0.3</v>
      </c>
      <c r="Y37" s="7">
        <v>0.3</v>
      </c>
      <c r="Z37" s="7">
        <v>0.3</v>
      </c>
      <c r="AA37" s="7">
        <v>0.3</v>
      </c>
      <c r="AB37" s="7">
        <v>0.3</v>
      </c>
      <c r="AC37" s="7">
        <v>0.3</v>
      </c>
      <c r="AD37" s="7">
        <v>0.3</v>
      </c>
      <c r="AE37" s="7">
        <v>0.3</v>
      </c>
      <c r="AF37" s="7">
        <v>0.3</v>
      </c>
      <c r="AG37" s="7">
        <v>0.3</v>
      </c>
      <c r="AH37" s="7">
        <v>0.3</v>
      </c>
      <c r="AI37" s="7">
        <v>0.3</v>
      </c>
    </row>
    <row r="38" spans="1:35" s="1" customFormat="1" ht="18" customHeight="1">
      <c r="B38" s="22" t="s">
        <v>71</v>
      </c>
      <c r="C38" s="23">
        <f>C31/C5</f>
        <v>0.20469719240831646</v>
      </c>
      <c r="D38" s="23">
        <f>D31/D5</f>
        <v>0.19615560603667848</v>
      </c>
      <c r="G38" s="24"/>
    </row>
    <row r="39" spans="1:35" s="1" customFormat="1" ht="18" customHeight="1">
      <c r="B39" s="22" t="s">
        <v>72</v>
      </c>
      <c r="C39" s="23">
        <f>C32/C5</f>
        <v>2.3370712421382195E-2</v>
      </c>
      <c r="D39" s="23">
        <f>D32/D5</f>
        <v>1.9786440554428505E-2</v>
      </c>
      <c r="G39" s="24"/>
    </row>
    <row r="40" spans="1:35" s="1" customFormat="1" ht="18" customHeight="1">
      <c r="B40" s="22" t="s">
        <v>73</v>
      </c>
      <c r="C40" s="23">
        <f>C33/C5</f>
        <v>4.6330963628575736E-2</v>
      </c>
      <c r="D40" s="23">
        <f>D33/D5</f>
        <v>7.5640698583154156E-2</v>
      </c>
      <c r="G40" s="24"/>
    </row>
    <row r="41" spans="1:35">
      <c r="G41" s="25"/>
    </row>
    <row r="42" spans="1:35">
      <c r="G42" s="25"/>
    </row>
    <row r="43" spans="1:35">
      <c r="G43" s="25"/>
    </row>
    <row r="44" spans="1:35">
      <c r="G44" s="25"/>
    </row>
    <row r="45" spans="1:35">
      <c r="G45" s="25"/>
    </row>
    <row r="46" spans="1:35">
      <c r="G46" s="25"/>
    </row>
    <row r="47" spans="1:35">
      <c r="G47" s="25"/>
    </row>
    <row r="48" spans="1:35">
      <c r="G48" s="25"/>
    </row>
    <row r="49" spans="7:7">
      <c r="G49" s="25"/>
    </row>
    <row r="50" spans="7:7">
      <c r="G50" s="25"/>
    </row>
    <row r="51" spans="7:7">
      <c r="G51" s="25"/>
    </row>
    <row r="52" spans="7:7">
      <c r="G52" s="25"/>
    </row>
    <row r="53" spans="7:7">
      <c r="G53" s="25"/>
    </row>
    <row r="54" spans="7:7">
      <c r="G54" s="25"/>
    </row>
    <row r="55" spans="7:7">
      <c r="G55" s="25"/>
    </row>
    <row r="56" spans="7:7">
      <c r="G56" s="25"/>
    </row>
    <row r="57" spans="7:7">
      <c r="G57" s="25"/>
    </row>
    <row r="58" spans="7:7">
      <c r="G58" s="25"/>
    </row>
    <row r="59" spans="7:7">
      <c r="G59" s="25"/>
    </row>
    <row r="60" spans="7:7">
      <c r="G60" s="25"/>
    </row>
    <row r="61" spans="7:7">
      <c r="G61" s="25"/>
    </row>
    <row r="62" spans="7:7">
      <c r="G62" s="25"/>
    </row>
    <row r="63" spans="7:7">
      <c r="G63" s="25"/>
    </row>
  </sheetData>
  <mergeCells count="10">
    <mergeCell ref="A35:A37"/>
    <mergeCell ref="A13:A15"/>
    <mergeCell ref="A16:A17"/>
    <mergeCell ref="A19:A29"/>
    <mergeCell ref="A31:A34"/>
    <mergeCell ref="A1:B1"/>
    <mergeCell ref="C1:AI1"/>
    <mergeCell ref="A3:A5"/>
    <mergeCell ref="A6:A8"/>
    <mergeCell ref="A9:A12"/>
  </mergeCells>
  <phoneticPr fontId="12" type="noConversion"/>
  <pageMargins left="0.69930555555555596" right="0.69930555555555596" top="0.75" bottom="0.75" header="0.3" footer="0.3"/>
  <pageSetup paperSize="8" scale="57" orientation="landscape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63"/>
  <sheetViews>
    <sheetView topLeftCell="A26" workbookViewId="0">
      <pane xSplit="4" topLeftCell="E1" activePane="topRight" state="frozen"/>
      <selection pane="topRight" activeCell="E45" sqref="E45"/>
    </sheetView>
  </sheetViews>
  <sheetFormatPr defaultColWidth="9" defaultRowHeight="13.5"/>
  <cols>
    <col min="1" max="1" width="8.75" style="4" customWidth="1"/>
    <col min="2" max="2" width="13.625" style="4" customWidth="1"/>
    <col min="3" max="3" width="10.625" style="4" customWidth="1"/>
    <col min="4" max="4" width="10.5" style="4" customWidth="1"/>
    <col min="5" max="6" width="9" style="4"/>
    <col min="7" max="12" width="9" style="4" customWidth="1"/>
    <col min="13" max="13" width="10.875" style="4" customWidth="1"/>
    <col min="14" max="31" width="9" style="4" customWidth="1"/>
    <col min="32" max="32" width="9" style="4"/>
    <col min="33" max="33" width="9" style="4" customWidth="1"/>
    <col min="34" max="34" width="8.375" style="4" customWidth="1"/>
    <col min="35" max="35" width="9" style="4" hidden="1" customWidth="1"/>
    <col min="36" max="36" width="9" style="4" customWidth="1"/>
    <col min="37" max="16384" width="9" style="4"/>
  </cols>
  <sheetData>
    <row r="1" spans="1:35" s="1" customFormat="1" ht="42.75" customHeight="1">
      <c r="A1" s="53">
        <v>44287</v>
      </c>
      <c r="B1" s="54"/>
      <c r="C1" s="55" t="s">
        <v>0</v>
      </c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55"/>
      <c r="X1" s="55"/>
      <c r="Y1" s="55"/>
      <c r="Z1" s="55"/>
      <c r="AA1" s="55"/>
      <c r="AB1" s="55"/>
      <c r="AC1" s="55"/>
      <c r="AD1" s="55"/>
      <c r="AE1" s="55"/>
      <c r="AF1" s="55"/>
      <c r="AG1" s="55"/>
      <c r="AH1" s="55"/>
      <c r="AI1" s="55"/>
    </row>
    <row r="2" spans="1:35" s="2" customFormat="1" ht="24.95" customHeight="1">
      <c r="A2" s="5"/>
      <c r="B2" s="5" t="s">
        <v>1</v>
      </c>
      <c r="C2" s="5" t="s">
        <v>2</v>
      </c>
      <c r="D2" s="5" t="s">
        <v>3</v>
      </c>
      <c r="E2" s="5" t="s">
        <v>4</v>
      </c>
      <c r="F2" s="5" t="s">
        <v>5</v>
      </c>
      <c r="G2" s="5" t="s">
        <v>6</v>
      </c>
      <c r="H2" s="5" t="s">
        <v>7</v>
      </c>
      <c r="I2" s="5" t="s">
        <v>8</v>
      </c>
      <c r="J2" s="5" t="s">
        <v>9</v>
      </c>
      <c r="K2" s="5" t="s">
        <v>10</v>
      </c>
      <c r="L2" s="5" t="s">
        <v>11</v>
      </c>
      <c r="M2" s="5" t="s">
        <v>12</v>
      </c>
      <c r="N2" s="5" t="s">
        <v>13</v>
      </c>
      <c r="O2" s="5" t="s">
        <v>14</v>
      </c>
      <c r="P2" s="5" t="s">
        <v>15</v>
      </c>
      <c r="Q2" s="5" t="s">
        <v>16</v>
      </c>
      <c r="R2" s="5" t="s">
        <v>17</v>
      </c>
      <c r="S2" s="5" t="s">
        <v>18</v>
      </c>
      <c r="T2" s="5" t="s">
        <v>19</v>
      </c>
      <c r="U2" s="5" t="s">
        <v>20</v>
      </c>
      <c r="V2" s="5" t="s">
        <v>21</v>
      </c>
      <c r="W2" s="5" t="s">
        <v>22</v>
      </c>
      <c r="X2" s="5" t="s">
        <v>23</v>
      </c>
      <c r="Y2" s="5" t="s">
        <v>24</v>
      </c>
      <c r="Z2" s="5" t="s">
        <v>25</v>
      </c>
      <c r="AA2" s="5" t="s">
        <v>26</v>
      </c>
      <c r="AB2" s="5" t="s">
        <v>27</v>
      </c>
      <c r="AC2" s="5" t="s">
        <v>28</v>
      </c>
      <c r="AD2" s="5" t="s">
        <v>29</v>
      </c>
      <c r="AE2" s="5" t="s">
        <v>30</v>
      </c>
      <c r="AF2" s="5" t="s">
        <v>31</v>
      </c>
      <c r="AG2" s="5" t="s">
        <v>32</v>
      </c>
      <c r="AH2" s="5" t="s">
        <v>33</v>
      </c>
      <c r="AI2" s="5" t="s">
        <v>34</v>
      </c>
    </row>
    <row r="3" spans="1:35" s="3" customFormat="1" ht="25.5" customHeight="1">
      <c r="A3" s="56" t="s">
        <v>35</v>
      </c>
      <c r="B3" s="7" t="s">
        <v>36</v>
      </c>
      <c r="C3" s="7">
        <f>D3+'3月'!C3</f>
        <v>40554</v>
      </c>
      <c r="D3" s="7">
        <f t="shared" ref="D3:D9" si="0">SUM(E3:AI3)</f>
        <v>11079.600000000002</v>
      </c>
      <c r="E3" s="7">
        <v>358.2</v>
      </c>
      <c r="F3" s="7">
        <v>371.6</v>
      </c>
      <c r="G3" s="7">
        <v>377.1</v>
      </c>
      <c r="H3" s="7">
        <v>365.9</v>
      </c>
      <c r="I3" s="7">
        <v>349.3</v>
      </c>
      <c r="J3" s="7">
        <v>349.4</v>
      </c>
      <c r="K3" s="7">
        <v>368.2</v>
      </c>
      <c r="L3" s="7">
        <v>373.3</v>
      </c>
      <c r="M3" s="7">
        <v>366.2</v>
      </c>
      <c r="N3" s="7">
        <v>375.6</v>
      </c>
      <c r="O3" s="7">
        <v>375.9</v>
      </c>
      <c r="P3" s="7">
        <v>359.4</v>
      </c>
      <c r="Q3" s="7">
        <v>378.2</v>
      </c>
      <c r="R3" s="7">
        <v>377.1</v>
      </c>
      <c r="S3" s="7">
        <v>385.8</v>
      </c>
      <c r="T3" s="7">
        <v>370.9</v>
      </c>
      <c r="U3" s="7">
        <v>362.6</v>
      </c>
      <c r="V3" s="7">
        <v>368.7</v>
      </c>
      <c r="W3" s="7">
        <v>373.6</v>
      </c>
      <c r="X3" s="7">
        <v>389.9</v>
      </c>
      <c r="Y3" s="7">
        <v>387.9</v>
      </c>
      <c r="Z3" s="7">
        <v>377.2</v>
      </c>
      <c r="AA3" s="7">
        <v>349.5</v>
      </c>
      <c r="AB3" s="7">
        <v>356.7</v>
      </c>
      <c r="AC3" s="7">
        <v>331</v>
      </c>
      <c r="AD3" s="7">
        <v>385.4</v>
      </c>
      <c r="AE3" s="7">
        <v>342.1</v>
      </c>
      <c r="AF3" s="7">
        <v>382.5</v>
      </c>
      <c r="AG3" s="7">
        <v>392.7</v>
      </c>
      <c r="AH3" s="7">
        <v>377.7</v>
      </c>
      <c r="AI3" s="30"/>
    </row>
    <row r="4" spans="1:35" s="3" customFormat="1" ht="26.25" customHeight="1">
      <c r="A4" s="56"/>
      <c r="B4" s="7" t="s">
        <v>37</v>
      </c>
      <c r="C4" s="7">
        <f>D4+'3月'!C4</f>
        <v>45587.5</v>
      </c>
      <c r="D4" s="7">
        <f t="shared" si="0"/>
        <v>10159.299999999999</v>
      </c>
      <c r="E4" s="7">
        <v>401.3</v>
      </c>
      <c r="F4" s="7">
        <v>385.6</v>
      </c>
      <c r="G4" s="7">
        <v>0</v>
      </c>
      <c r="H4" s="7">
        <v>0</v>
      </c>
      <c r="I4" s="7">
        <v>0</v>
      </c>
      <c r="J4" s="7">
        <v>0</v>
      </c>
      <c r="K4" s="7">
        <v>0</v>
      </c>
      <c r="L4" s="7">
        <v>213.3</v>
      </c>
      <c r="M4" s="7">
        <v>400.8</v>
      </c>
      <c r="N4" s="7">
        <v>438.8</v>
      </c>
      <c r="O4" s="7">
        <v>410.8</v>
      </c>
      <c r="P4" s="7">
        <v>409.8</v>
      </c>
      <c r="Q4" s="7">
        <v>417</v>
      </c>
      <c r="R4" s="7">
        <v>407.1</v>
      </c>
      <c r="S4" s="7">
        <v>423.7</v>
      </c>
      <c r="T4" s="7">
        <v>414.8</v>
      </c>
      <c r="U4" s="7">
        <v>420.4</v>
      </c>
      <c r="V4" s="7">
        <v>419.4</v>
      </c>
      <c r="W4" s="7">
        <v>432</v>
      </c>
      <c r="X4" s="7">
        <v>421.3</v>
      </c>
      <c r="Y4" s="7">
        <v>424.4</v>
      </c>
      <c r="Z4" s="7">
        <v>424.6</v>
      </c>
      <c r="AA4" s="7">
        <v>389.4</v>
      </c>
      <c r="AB4" s="7">
        <v>425.7</v>
      </c>
      <c r="AC4" s="7">
        <v>395.1</v>
      </c>
      <c r="AD4" s="7">
        <v>414.3</v>
      </c>
      <c r="AE4" s="7">
        <v>398.7</v>
      </c>
      <c r="AF4" s="7">
        <v>407.3</v>
      </c>
      <c r="AG4" s="7">
        <v>428.1</v>
      </c>
      <c r="AH4" s="30">
        <v>435.6</v>
      </c>
      <c r="AI4" s="7"/>
    </row>
    <row r="5" spans="1:35" s="3" customFormat="1" ht="24.95" customHeight="1">
      <c r="A5" s="56"/>
      <c r="B5" s="7" t="s">
        <v>38</v>
      </c>
      <c r="C5" s="7">
        <f>D5+'3月'!C5</f>
        <v>86141.5</v>
      </c>
      <c r="D5" s="7">
        <f t="shared" si="0"/>
        <v>21238.899999999998</v>
      </c>
      <c r="E5" s="7">
        <f>SUM(E3:E4)</f>
        <v>759.5</v>
      </c>
      <c r="F5" s="7">
        <f t="shared" ref="F5:AI5" si="1">SUM(F3:F4)</f>
        <v>757.2</v>
      </c>
      <c r="G5" s="7">
        <f t="shared" si="1"/>
        <v>377.1</v>
      </c>
      <c r="H5" s="7">
        <f t="shared" si="1"/>
        <v>365.9</v>
      </c>
      <c r="I5" s="7">
        <f t="shared" si="1"/>
        <v>349.3</v>
      </c>
      <c r="J5" s="7">
        <f t="shared" si="1"/>
        <v>349.4</v>
      </c>
      <c r="K5" s="7">
        <f t="shared" si="1"/>
        <v>368.2</v>
      </c>
      <c r="L5" s="7">
        <f t="shared" si="1"/>
        <v>586.6</v>
      </c>
      <c r="M5" s="7">
        <f t="shared" si="1"/>
        <v>767</v>
      </c>
      <c r="N5" s="7">
        <f t="shared" si="1"/>
        <v>814.40000000000009</v>
      </c>
      <c r="O5" s="7">
        <f t="shared" si="1"/>
        <v>786.7</v>
      </c>
      <c r="P5" s="7">
        <f t="shared" si="1"/>
        <v>769.2</v>
      </c>
      <c r="Q5" s="7">
        <f t="shared" si="1"/>
        <v>795.2</v>
      </c>
      <c r="R5" s="7">
        <f t="shared" si="1"/>
        <v>784.2</v>
      </c>
      <c r="S5" s="7">
        <f t="shared" si="1"/>
        <v>809.5</v>
      </c>
      <c r="T5" s="7">
        <f t="shared" si="1"/>
        <v>785.7</v>
      </c>
      <c r="U5" s="7">
        <f t="shared" si="1"/>
        <v>783</v>
      </c>
      <c r="V5" s="7">
        <f t="shared" si="1"/>
        <v>788.09999999999991</v>
      </c>
      <c r="W5" s="7">
        <f t="shared" si="1"/>
        <v>805.6</v>
      </c>
      <c r="X5" s="7">
        <f t="shared" si="1"/>
        <v>811.2</v>
      </c>
      <c r="Y5" s="7">
        <f t="shared" si="1"/>
        <v>812.3</v>
      </c>
      <c r="Z5" s="7">
        <f t="shared" si="1"/>
        <v>801.8</v>
      </c>
      <c r="AA5" s="7">
        <f t="shared" si="1"/>
        <v>738.9</v>
      </c>
      <c r="AB5" s="7">
        <f t="shared" si="1"/>
        <v>782.4</v>
      </c>
      <c r="AC5" s="7">
        <f t="shared" si="1"/>
        <v>726.1</v>
      </c>
      <c r="AD5" s="7">
        <f t="shared" si="1"/>
        <v>799.7</v>
      </c>
      <c r="AE5" s="7">
        <f t="shared" si="1"/>
        <v>740.8</v>
      </c>
      <c r="AF5" s="7">
        <f t="shared" si="1"/>
        <v>789.8</v>
      </c>
      <c r="AG5" s="7">
        <f t="shared" si="1"/>
        <v>820.8</v>
      </c>
      <c r="AH5" s="7">
        <f t="shared" si="1"/>
        <v>813.3</v>
      </c>
      <c r="AI5" s="7">
        <f t="shared" si="1"/>
        <v>0</v>
      </c>
    </row>
    <row r="6" spans="1:35" s="3" customFormat="1" ht="24.95" customHeight="1">
      <c r="A6" s="56" t="s">
        <v>39</v>
      </c>
      <c r="B6" s="7" t="s">
        <v>40</v>
      </c>
      <c r="C6" s="7">
        <f>D6+'3月'!C6</f>
        <v>18853680</v>
      </c>
      <c r="D6" s="7">
        <f t="shared" si="0"/>
        <v>5247600</v>
      </c>
      <c r="E6" s="7">
        <v>173040</v>
      </c>
      <c r="F6" s="7">
        <v>169440</v>
      </c>
      <c r="G6" s="7">
        <v>152160</v>
      </c>
      <c r="H6" s="7">
        <v>154080</v>
      </c>
      <c r="I6" s="7">
        <v>153360</v>
      </c>
      <c r="J6" s="7">
        <v>154560</v>
      </c>
      <c r="K6" s="7">
        <v>161280</v>
      </c>
      <c r="L6" s="7">
        <v>168720</v>
      </c>
      <c r="M6" s="7">
        <v>172800</v>
      </c>
      <c r="N6" s="7">
        <v>186000</v>
      </c>
      <c r="O6" s="7">
        <v>183360</v>
      </c>
      <c r="P6" s="26">
        <v>185280</v>
      </c>
      <c r="Q6" s="7">
        <v>167520</v>
      </c>
      <c r="R6" s="7">
        <v>170640</v>
      </c>
      <c r="S6" s="7">
        <v>180480</v>
      </c>
      <c r="T6" s="7">
        <v>175680</v>
      </c>
      <c r="U6" s="26">
        <v>184800</v>
      </c>
      <c r="V6" s="7">
        <v>180480</v>
      </c>
      <c r="W6" s="7">
        <v>184800</v>
      </c>
      <c r="X6" s="7">
        <v>178800</v>
      </c>
      <c r="Y6" s="7">
        <v>184080</v>
      </c>
      <c r="Z6" s="7">
        <v>168960</v>
      </c>
      <c r="AA6" s="7">
        <v>176400</v>
      </c>
      <c r="AB6" s="7">
        <v>178800</v>
      </c>
      <c r="AC6" s="7">
        <v>179280</v>
      </c>
      <c r="AD6" s="7">
        <v>185280</v>
      </c>
      <c r="AE6" s="7">
        <v>185040</v>
      </c>
      <c r="AF6" s="7">
        <v>188400</v>
      </c>
      <c r="AG6" s="7">
        <v>183360</v>
      </c>
      <c r="AH6" s="7">
        <v>180720</v>
      </c>
      <c r="AI6" s="7"/>
    </row>
    <row r="7" spans="1:35" s="3" customFormat="1" ht="24.95" customHeight="1">
      <c r="A7" s="56"/>
      <c r="B7" s="7" t="s">
        <v>41</v>
      </c>
      <c r="C7" s="7">
        <f>D7+'3月'!C7</f>
        <v>17688510</v>
      </c>
      <c r="D7" s="7">
        <f t="shared" si="0"/>
        <v>4020690</v>
      </c>
      <c r="E7" s="7">
        <v>149760</v>
      </c>
      <c r="F7" s="7">
        <v>149280</v>
      </c>
      <c r="G7" s="7">
        <v>18480</v>
      </c>
      <c r="H7" s="7">
        <v>0</v>
      </c>
      <c r="I7" s="7">
        <v>0</v>
      </c>
      <c r="J7" s="7">
        <v>0</v>
      </c>
      <c r="K7" s="7">
        <v>0</v>
      </c>
      <c r="L7" s="7">
        <v>52080</v>
      </c>
      <c r="M7" s="7">
        <v>157440</v>
      </c>
      <c r="N7" s="7">
        <v>178560</v>
      </c>
      <c r="O7" s="7">
        <v>174720</v>
      </c>
      <c r="P7" s="26">
        <v>170400</v>
      </c>
      <c r="Q7" s="7">
        <v>175440</v>
      </c>
      <c r="R7" s="7">
        <v>161280</v>
      </c>
      <c r="S7" s="7">
        <v>162480</v>
      </c>
      <c r="T7" s="7">
        <v>171360</v>
      </c>
      <c r="U7" s="7">
        <v>172800</v>
      </c>
      <c r="V7" s="7">
        <v>167520</v>
      </c>
      <c r="W7" s="7">
        <v>172560</v>
      </c>
      <c r="X7" s="7">
        <v>172080</v>
      </c>
      <c r="Y7" s="7">
        <v>163200</v>
      </c>
      <c r="Z7" s="7">
        <v>152640</v>
      </c>
      <c r="AA7" s="7">
        <v>158160</v>
      </c>
      <c r="AB7" s="7">
        <v>159120</v>
      </c>
      <c r="AC7" s="7">
        <v>157410</v>
      </c>
      <c r="AD7" s="7">
        <v>167520</v>
      </c>
      <c r="AE7" s="7">
        <v>156480</v>
      </c>
      <c r="AF7" s="7">
        <v>169680</v>
      </c>
      <c r="AG7" s="7">
        <v>165600</v>
      </c>
      <c r="AH7" s="7">
        <v>164640</v>
      </c>
      <c r="AI7" s="26"/>
    </row>
    <row r="8" spans="1:35" s="3" customFormat="1" ht="24.75" customHeight="1">
      <c r="A8" s="56"/>
      <c r="B8" s="7" t="s">
        <v>38</v>
      </c>
      <c r="C8" s="7">
        <f>D8+'3月'!C8</f>
        <v>36542190</v>
      </c>
      <c r="D8" s="7">
        <f t="shared" si="0"/>
        <v>9268290</v>
      </c>
      <c r="E8" s="7">
        <f t="shared" ref="E8:AI8" si="2">SUM(E6:E7)</f>
        <v>322800</v>
      </c>
      <c r="F8" s="7">
        <f t="shared" si="2"/>
        <v>318720</v>
      </c>
      <c r="G8" s="7">
        <f t="shared" si="2"/>
        <v>170640</v>
      </c>
      <c r="H8" s="7">
        <f t="shared" si="2"/>
        <v>154080</v>
      </c>
      <c r="I8" s="7">
        <f t="shared" si="2"/>
        <v>153360</v>
      </c>
      <c r="J8" s="7">
        <f t="shared" si="2"/>
        <v>154560</v>
      </c>
      <c r="K8" s="7">
        <f t="shared" si="2"/>
        <v>161280</v>
      </c>
      <c r="L8" s="7">
        <f t="shared" si="2"/>
        <v>220800</v>
      </c>
      <c r="M8" s="7">
        <f t="shared" si="2"/>
        <v>330240</v>
      </c>
      <c r="N8" s="7">
        <f t="shared" si="2"/>
        <v>364560</v>
      </c>
      <c r="O8" s="7">
        <f t="shared" si="2"/>
        <v>358080</v>
      </c>
      <c r="P8" s="7">
        <f t="shared" si="2"/>
        <v>355680</v>
      </c>
      <c r="Q8" s="7">
        <f t="shared" si="2"/>
        <v>342960</v>
      </c>
      <c r="R8" s="7">
        <f t="shared" si="2"/>
        <v>331920</v>
      </c>
      <c r="S8" s="7">
        <f t="shared" si="2"/>
        <v>342960</v>
      </c>
      <c r="T8" s="7">
        <f t="shared" si="2"/>
        <v>347040</v>
      </c>
      <c r="U8" s="7">
        <f t="shared" si="2"/>
        <v>357600</v>
      </c>
      <c r="V8" s="7">
        <f t="shared" si="2"/>
        <v>348000</v>
      </c>
      <c r="W8" s="7">
        <f t="shared" si="2"/>
        <v>357360</v>
      </c>
      <c r="X8" s="7">
        <f t="shared" si="2"/>
        <v>350880</v>
      </c>
      <c r="Y8" s="7">
        <f t="shared" si="2"/>
        <v>347280</v>
      </c>
      <c r="Z8" s="7">
        <f t="shared" si="2"/>
        <v>321600</v>
      </c>
      <c r="AA8" s="7">
        <f t="shared" si="2"/>
        <v>334560</v>
      </c>
      <c r="AB8" s="7">
        <f t="shared" si="2"/>
        <v>337920</v>
      </c>
      <c r="AC8" s="7">
        <f t="shared" si="2"/>
        <v>336690</v>
      </c>
      <c r="AD8" s="7">
        <f t="shared" si="2"/>
        <v>352800</v>
      </c>
      <c r="AE8" s="7">
        <f t="shared" si="2"/>
        <v>341520</v>
      </c>
      <c r="AF8" s="7">
        <f t="shared" si="2"/>
        <v>358080</v>
      </c>
      <c r="AG8" s="7">
        <f t="shared" si="2"/>
        <v>348960</v>
      </c>
      <c r="AH8" s="7">
        <f t="shared" si="2"/>
        <v>345360</v>
      </c>
      <c r="AI8" s="7">
        <f t="shared" si="2"/>
        <v>0</v>
      </c>
    </row>
    <row r="9" spans="1:35" s="3" customFormat="1" ht="24.95" customHeight="1">
      <c r="A9" s="56" t="s">
        <v>42</v>
      </c>
      <c r="B9" s="7" t="s">
        <v>38</v>
      </c>
      <c r="C9" s="7">
        <f>D9+'3月'!C9</f>
        <v>30945750</v>
      </c>
      <c r="D9" s="7">
        <f t="shared" si="0"/>
        <v>7864550</v>
      </c>
      <c r="E9" s="7">
        <v>274160</v>
      </c>
      <c r="F9" s="7">
        <v>271100</v>
      </c>
      <c r="G9" s="7">
        <v>136760</v>
      </c>
      <c r="H9" s="7">
        <v>121700</v>
      </c>
      <c r="I9" s="7">
        <v>116820</v>
      </c>
      <c r="J9" s="7">
        <v>117960</v>
      </c>
      <c r="K9" s="7">
        <v>127560</v>
      </c>
      <c r="L9" s="7">
        <v>180640</v>
      </c>
      <c r="M9" s="7">
        <v>286800</v>
      </c>
      <c r="N9" s="7">
        <v>314580</v>
      </c>
      <c r="O9" s="7">
        <v>309660</v>
      </c>
      <c r="P9" s="7">
        <v>306900</v>
      </c>
      <c r="Q9" s="7">
        <v>292740</v>
      </c>
      <c r="R9" s="7">
        <v>282720</v>
      </c>
      <c r="S9" s="7">
        <v>291000</v>
      </c>
      <c r="T9" s="7">
        <v>299480</v>
      </c>
      <c r="U9" s="7">
        <v>307640</v>
      </c>
      <c r="V9" s="7">
        <v>298080</v>
      </c>
      <c r="W9" s="7">
        <v>306680</v>
      </c>
      <c r="X9" s="7">
        <v>297920</v>
      </c>
      <c r="Y9" s="7">
        <v>296800</v>
      </c>
      <c r="Z9" s="7">
        <v>269040</v>
      </c>
      <c r="AA9" s="7">
        <v>284340</v>
      </c>
      <c r="AB9" s="7">
        <v>285560</v>
      </c>
      <c r="AC9" s="7">
        <v>284730</v>
      </c>
      <c r="AD9" s="7">
        <v>304820</v>
      </c>
      <c r="AE9" s="7">
        <v>293640</v>
      </c>
      <c r="AF9" s="7">
        <v>312060</v>
      </c>
      <c r="AG9" s="7">
        <v>297640</v>
      </c>
      <c r="AH9" s="7">
        <v>295020</v>
      </c>
      <c r="AI9" s="7"/>
    </row>
    <row r="10" spans="1:35" s="3" customFormat="1" ht="24.95" customHeight="1">
      <c r="A10" s="56"/>
      <c r="B10" s="6" t="s">
        <v>43</v>
      </c>
      <c r="C10" s="8">
        <f t="shared" ref="C10:AI10" si="3">SUM(C8/C5)</f>
        <v>424.21121062437965</v>
      </c>
      <c r="D10" s="8">
        <f t="shared" si="3"/>
        <v>436.38276935246182</v>
      </c>
      <c r="E10" s="8">
        <f t="shared" si="3"/>
        <v>425.0164581961817</v>
      </c>
      <c r="F10" s="8">
        <f t="shared" si="3"/>
        <v>420.91917591125195</v>
      </c>
      <c r="G10" s="8">
        <f t="shared" si="3"/>
        <v>452.50596658711214</v>
      </c>
      <c r="H10" s="8">
        <f t="shared" si="3"/>
        <v>421.09866083629407</v>
      </c>
      <c r="I10" s="8">
        <f t="shared" si="3"/>
        <v>439.04952762668194</v>
      </c>
      <c r="J10" s="8">
        <f t="shared" si="3"/>
        <v>442.35832856325129</v>
      </c>
      <c r="K10" s="8">
        <f t="shared" si="3"/>
        <v>438.02281368821292</v>
      </c>
      <c r="L10" s="8">
        <f t="shared" si="3"/>
        <v>376.40640981929761</v>
      </c>
      <c r="M10" s="8">
        <f t="shared" si="3"/>
        <v>430.5606258148631</v>
      </c>
      <c r="N10" s="8">
        <f t="shared" si="3"/>
        <v>447.64243614931235</v>
      </c>
      <c r="O10" s="8">
        <f t="shared" si="3"/>
        <v>455.16715393415529</v>
      </c>
      <c r="P10" s="8">
        <f t="shared" si="3"/>
        <v>462.40249609984397</v>
      </c>
      <c r="Q10" s="8">
        <f t="shared" si="3"/>
        <v>431.28772635814886</v>
      </c>
      <c r="R10" s="8">
        <f t="shared" si="3"/>
        <v>423.25937260902828</v>
      </c>
      <c r="S10" s="8">
        <f t="shared" si="3"/>
        <v>423.66893143915996</v>
      </c>
      <c r="T10" s="8">
        <f t="shared" si="3"/>
        <v>441.69530355097362</v>
      </c>
      <c r="U10" s="8">
        <f t="shared" si="3"/>
        <v>456.70498084291188</v>
      </c>
      <c r="V10" s="8">
        <f t="shared" si="3"/>
        <v>441.56832889227263</v>
      </c>
      <c r="W10" s="8">
        <f t="shared" si="3"/>
        <v>443.5948361469712</v>
      </c>
      <c r="X10" s="8">
        <f t="shared" si="3"/>
        <v>432.54437869822482</v>
      </c>
      <c r="Y10" s="8">
        <f t="shared" si="3"/>
        <v>427.52677582174078</v>
      </c>
      <c r="Z10" s="8">
        <f t="shared" si="3"/>
        <v>401.09753055624844</v>
      </c>
      <c r="AA10" s="8">
        <f t="shared" si="3"/>
        <v>452.78116118554607</v>
      </c>
      <c r="AB10" s="8">
        <f t="shared" si="3"/>
        <v>431.90184049079755</v>
      </c>
      <c r="AC10" s="8">
        <f t="shared" si="3"/>
        <v>463.69646054262495</v>
      </c>
      <c r="AD10" s="8">
        <f t="shared" si="3"/>
        <v>441.16543703888954</v>
      </c>
      <c r="AE10" s="8">
        <f t="shared" si="3"/>
        <v>461.01511879049679</v>
      </c>
      <c r="AF10" s="8">
        <f t="shared" si="3"/>
        <v>453.3806026842239</v>
      </c>
      <c r="AG10" s="8">
        <f t="shared" si="3"/>
        <v>425.14619883040939</v>
      </c>
      <c r="AH10" s="8">
        <f t="shared" si="3"/>
        <v>424.64035411287352</v>
      </c>
      <c r="AI10" s="8" t="e">
        <f t="shared" si="3"/>
        <v>#DIV/0!</v>
      </c>
    </row>
    <row r="11" spans="1:35" s="3" customFormat="1" ht="24.95" customHeight="1">
      <c r="A11" s="56"/>
      <c r="B11" s="9" t="s">
        <v>44</v>
      </c>
      <c r="C11" s="8">
        <f>(C8-C16)/C5</f>
        <v>359.37091877898575</v>
      </c>
      <c r="D11" s="8">
        <f>(D8-D16)/D5</f>
        <v>370.28989260272431</v>
      </c>
      <c r="E11" s="8">
        <f t="shared" ref="E11:AI11" si="4">SUM(E9/E5)</f>
        <v>360.97432521395655</v>
      </c>
      <c r="F11" s="8">
        <f t="shared" si="4"/>
        <v>358.02958267300579</v>
      </c>
      <c r="G11" s="8">
        <f t="shared" si="4"/>
        <v>362.66242376027577</v>
      </c>
      <c r="H11" s="8">
        <f t="shared" si="4"/>
        <v>332.60453675867723</v>
      </c>
      <c r="I11" s="8">
        <f t="shared" si="4"/>
        <v>334.4403091898082</v>
      </c>
      <c r="J11" s="8">
        <f t="shared" si="4"/>
        <v>337.60732684602175</v>
      </c>
      <c r="K11" s="8">
        <f t="shared" si="4"/>
        <v>346.44215100488867</v>
      </c>
      <c r="L11" s="8">
        <f t="shared" si="4"/>
        <v>307.94408455506306</v>
      </c>
      <c r="M11" s="8">
        <f t="shared" si="4"/>
        <v>373.92438070404171</v>
      </c>
      <c r="N11" s="8">
        <f t="shared" si="4"/>
        <v>386.27210216110018</v>
      </c>
      <c r="O11" s="8">
        <f t="shared" si="4"/>
        <v>393.6189144527774</v>
      </c>
      <c r="P11" s="8">
        <f t="shared" si="4"/>
        <v>398.98595943837751</v>
      </c>
      <c r="Q11" s="8">
        <f t="shared" si="4"/>
        <v>368.13380281690138</v>
      </c>
      <c r="R11" s="8">
        <f t="shared" si="4"/>
        <v>360.52027543993876</v>
      </c>
      <c r="S11" s="8">
        <f t="shared" si="4"/>
        <v>359.48116121062384</v>
      </c>
      <c r="T11" s="8">
        <f t="shared" si="4"/>
        <v>381.16329387807048</v>
      </c>
      <c r="U11" s="8">
        <f t="shared" si="4"/>
        <v>392.89910600255428</v>
      </c>
      <c r="V11" s="8">
        <f t="shared" si="4"/>
        <v>378.22611343738106</v>
      </c>
      <c r="W11" s="8">
        <f t="shared" si="4"/>
        <v>380.68520357497516</v>
      </c>
      <c r="X11" s="8">
        <f t="shared" si="4"/>
        <v>367.25838264299801</v>
      </c>
      <c r="Y11" s="8">
        <f t="shared" si="4"/>
        <v>365.38224793795399</v>
      </c>
      <c r="Z11" s="8">
        <f t="shared" si="4"/>
        <v>335.54502369668251</v>
      </c>
      <c r="AA11" s="8">
        <f t="shared" si="4"/>
        <v>384.81526593585062</v>
      </c>
      <c r="AB11" s="8">
        <f t="shared" si="4"/>
        <v>364.9795501022495</v>
      </c>
      <c r="AC11" s="8">
        <f t="shared" si="4"/>
        <v>392.13606941192671</v>
      </c>
      <c r="AD11" s="8">
        <f t="shared" si="4"/>
        <v>381.16793797674126</v>
      </c>
      <c r="AE11" s="8">
        <f t="shared" si="4"/>
        <v>396.38228941684667</v>
      </c>
      <c r="AF11" s="8">
        <f t="shared" si="4"/>
        <v>395.11268675614082</v>
      </c>
      <c r="AG11" s="8">
        <f t="shared" si="4"/>
        <v>362.62183235867451</v>
      </c>
      <c r="AH11" s="8">
        <f t="shared" si="4"/>
        <v>362.74437476945781</v>
      </c>
      <c r="AI11" s="8" t="e">
        <f t="shared" si="4"/>
        <v>#DIV/0!</v>
      </c>
    </row>
    <row r="12" spans="1:35" s="3" customFormat="1" ht="24.95" customHeight="1">
      <c r="A12" s="56"/>
      <c r="B12" s="6" t="s">
        <v>45</v>
      </c>
      <c r="C12" s="8">
        <f>D12+'3月'!C12</f>
        <v>85364.199999999983</v>
      </c>
      <c r="D12" s="8">
        <f t="shared" ref="D12:D16" si="5">SUM(E12:AI12)</f>
        <v>23105.260000000002</v>
      </c>
      <c r="E12" s="7">
        <v>684.08</v>
      </c>
      <c r="F12" s="7">
        <v>836.66</v>
      </c>
      <c r="G12" s="7">
        <v>738.7</v>
      </c>
      <c r="H12" s="7">
        <v>433.26</v>
      </c>
      <c r="I12" s="7">
        <v>575.41999999999996</v>
      </c>
      <c r="J12" s="7">
        <v>819.74</v>
      </c>
      <c r="K12" s="7">
        <v>756.34</v>
      </c>
      <c r="L12" s="7">
        <v>738.56</v>
      </c>
      <c r="M12" s="7">
        <v>683.42</v>
      </c>
      <c r="N12" s="7">
        <v>683.9</v>
      </c>
      <c r="O12" s="7">
        <v>719.4</v>
      </c>
      <c r="P12" s="7">
        <v>748.32</v>
      </c>
      <c r="Q12" s="7">
        <v>749.36</v>
      </c>
      <c r="R12" s="7">
        <v>772.86</v>
      </c>
      <c r="S12" s="7">
        <v>734.22</v>
      </c>
      <c r="T12" s="7">
        <v>737.62</v>
      </c>
      <c r="U12" s="7">
        <v>767.16</v>
      </c>
      <c r="V12" s="7">
        <v>749.56</v>
      </c>
      <c r="W12" s="7">
        <v>709.4</v>
      </c>
      <c r="X12" s="7">
        <v>745.78</v>
      </c>
      <c r="Y12" s="7">
        <v>635.29999999999995</v>
      </c>
      <c r="Z12" s="7">
        <v>758.98</v>
      </c>
      <c r="AA12" s="7">
        <v>885.96</v>
      </c>
      <c r="AB12" s="7">
        <v>886.4</v>
      </c>
      <c r="AC12" s="7">
        <v>871.6</v>
      </c>
      <c r="AD12" s="12">
        <v>1014.38</v>
      </c>
      <c r="AE12" s="7">
        <v>944.06</v>
      </c>
      <c r="AF12" s="7">
        <v>873.24</v>
      </c>
      <c r="AG12" s="7">
        <v>954.48</v>
      </c>
      <c r="AH12" s="12">
        <v>897.1</v>
      </c>
      <c r="AI12" s="7"/>
    </row>
    <row r="13" spans="1:35" s="3" customFormat="1" ht="24.75" customHeight="1">
      <c r="A13" s="58" t="s">
        <v>46</v>
      </c>
      <c r="B13" s="6" t="s">
        <v>36</v>
      </c>
      <c r="C13" s="8">
        <f>D13+'3月'!C13</f>
        <v>102821</v>
      </c>
      <c r="D13" s="10">
        <f t="shared" si="5"/>
        <v>28728</v>
      </c>
      <c r="E13" s="7">
        <v>925</v>
      </c>
      <c r="F13" s="7">
        <v>963</v>
      </c>
      <c r="G13" s="7">
        <v>969</v>
      </c>
      <c r="H13" s="7">
        <v>959</v>
      </c>
      <c r="I13" s="7">
        <v>967</v>
      </c>
      <c r="J13" s="7">
        <v>949</v>
      </c>
      <c r="K13" s="7">
        <v>1002</v>
      </c>
      <c r="L13" s="7">
        <v>936</v>
      </c>
      <c r="M13" s="20">
        <v>905</v>
      </c>
      <c r="N13" s="7">
        <v>965</v>
      </c>
      <c r="O13" s="7">
        <v>949</v>
      </c>
      <c r="P13" s="20">
        <v>952</v>
      </c>
      <c r="Q13" s="7">
        <v>958</v>
      </c>
      <c r="R13" s="7">
        <v>921</v>
      </c>
      <c r="S13" s="7">
        <v>948</v>
      </c>
      <c r="T13" s="7">
        <v>906</v>
      </c>
      <c r="U13" s="7">
        <v>992</v>
      </c>
      <c r="V13" s="7">
        <v>974</v>
      </c>
      <c r="W13" s="7">
        <v>981</v>
      </c>
      <c r="X13" s="7">
        <v>975</v>
      </c>
      <c r="Y13" s="7">
        <v>958</v>
      </c>
      <c r="Z13" s="7">
        <v>910</v>
      </c>
      <c r="AA13" s="7">
        <v>935</v>
      </c>
      <c r="AB13" s="7">
        <v>950</v>
      </c>
      <c r="AC13" s="7">
        <v>933</v>
      </c>
      <c r="AD13" s="7">
        <v>989</v>
      </c>
      <c r="AE13" s="7">
        <v>979</v>
      </c>
      <c r="AF13" s="7">
        <v>1035</v>
      </c>
      <c r="AG13" s="7">
        <v>965</v>
      </c>
      <c r="AH13" s="7">
        <v>978</v>
      </c>
      <c r="AI13" s="7"/>
    </row>
    <row r="14" spans="1:35" s="3" customFormat="1" ht="25.5" customHeight="1">
      <c r="A14" s="59"/>
      <c r="B14" s="6" t="s">
        <v>37</v>
      </c>
      <c r="C14" s="8">
        <f>D14+'3月'!C14</f>
        <v>115428</v>
      </c>
      <c r="D14" s="10">
        <f t="shared" si="5"/>
        <v>27506</v>
      </c>
      <c r="E14" s="7">
        <v>1049</v>
      </c>
      <c r="F14" s="7">
        <v>988</v>
      </c>
      <c r="G14" s="7">
        <v>132</v>
      </c>
      <c r="H14" s="7">
        <v>0</v>
      </c>
      <c r="I14" s="7">
        <v>0</v>
      </c>
      <c r="J14" s="7">
        <v>0</v>
      </c>
      <c r="K14" s="7">
        <v>0</v>
      </c>
      <c r="L14" s="7">
        <v>419</v>
      </c>
      <c r="M14" s="20">
        <v>1046</v>
      </c>
      <c r="N14" s="7">
        <v>1170</v>
      </c>
      <c r="O14" s="7">
        <v>1196</v>
      </c>
      <c r="P14" s="20">
        <v>1183</v>
      </c>
      <c r="Q14" s="7">
        <v>1139</v>
      </c>
      <c r="R14" s="7">
        <v>1056</v>
      </c>
      <c r="S14" s="7">
        <v>1123</v>
      </c>
      <c r="T14" s="7">
        <v>1162</v>
      </c>
      <c r="U14" s="7">
        <v>1153</v>
      </c>
      <c r="V14" s="7">
        <v>1176</v>
      </c>
      <c r="W14" s="7">
        <v>1146</v>
      </c>
      <c r="X14" s="7">
        <v>1128</v>
      </c>
      <c r="Y14" s="7">
        <v>1161</v>
      </c>
      <c r="Z14" s="7">
        <v>1082</v>
      </c>
      <c r="AA14" s="7">
        <v>1118</v>
      </c>
      <c r="AB14" s="7">
        <v>1122</v>
      </c>
      <c r="AC14" s="7">
        <v>1152</v>
      </c>
      <c r="AD14" s="7">
        <v>1149</v>
      </c>
      <c r="AE14" s="7">
        <v>1097</v>
      </c>
      <c r="AF14" s="7">
        <v>1119</v>
      </c>
      <c r="AG14" s="7">
        <v>1155</v>
      </c>
      <c r="AH14" s="7">
        <v>1085</v>
      </c>
      <c r="AI14" s="7"/>
    </row>
    <row r="15" spans="1:35" s="3" customFormat="1" ht="24" customHeight="1">
      <c r="A15" s="60"/>
      <c r="B15" s="7" t="s">
        <v>38</v>
      </c>
      <c r="C15" s="8">
        <f>D15+'3月'!C15</f>
        <v>218249</v>
      </c>
      <c r="D15" s="7">
        <f t="shared" si="5"/>
        <v>56234</v>
      </c>
      <c r="E15" s="7">
        <f>SUM(E13:E14)</f>
        <v>1974</v>
      </c>
      <c r="F15" s="7">
        <f>SUM(F13:F14)</f>
        <v>1951</v>
      </c>
      <c r="G15" s="7">
        <f t="shared" ref="G15:AI15" si="6">SUM(G13:G14)</f>
        <v>1101</v>
      </c>
      <c r="H15" s="7">
        <f t="shared" si="6"/>
        <v>959</v>
      </c>
      <c r="I15" s="7">
        <f t="shared" si="6"/>
        <v>967</v>
      </c>
      <c r="J15" s="7">
        <f t="shared" si="6"/>
        <v>949</v>
      </c>
      <c r="K15" s="7">
        <f t="shared" si="6"/>
        <v>1002</v>
      </c>
      <c r="L15" s="7">
        <f t="shared" si="6"/>
        <v>1355</v>
      </c>
      <c r="M15" s="7">
        <f t="shared" si="6"/>
        <v>1951</v>
      </c>
      <c r="N15" s="7">
        <f t="shared" si="6"/>
        <v>2135</v>
      </c>
      <c r="O15" s="7">
        <f t="shared" si="6"/>
        <v>2145</v>
      </c>
      <c r="P15" s="7">
        <f t="shared" si="6"/>
        <v>2135</v>
      </c>
      <c r="Q15" s="7">
        <f t="shared" si="6"/>
        <v>2097</v>
      </c>
      <c r="R15" s="7">
        <f t="shared" si="6"/>
        <v>1977</v>
      </c>
      <c r="S15" s="7">
        <f t="shared" si="6"/>
        <v>2071</v>
      </c>
      <c r="T15" s="7">
        <f t="shared" si="6"/>
        <v>2068</v>
      </c>
      <c r="U15" s="7">
        <f t="shared" si="6"/>
        <v>2145</v>
      </c>
      <c r="V15" s="7">
        <f t="shared" si="6"/>
        <v>2150</v>
      </c>
      <c r="W15" s="7">
        <f t="shared" si="6"/>
        <v>2127</v>
      </c>
      <c r="X15" s="7">
        <f t="shared" si="6"/>
        <v>2103</v>
      </c>
      <c r="Y15" s="7">
        <f t="shared" si="6"/>
        <v>2119</v>
      </c>
      <c r="Z15" s="7">
        <f t="shared" si="6"/>
        <v>1992</v>
      </c>
      <c r="AA15" s="7">
        <f t="shared" si="6"/>
        <v>2053</v>
      </c>
      <c r="AB15" s="7">
        <f t="shared" si="6"/>
        <v>2072</v>
      </c>
      <c r="AC15" s="7">
        <f t="shared" si="6"/>
        <v>2085</v>
      </c>
      <c r="AD15" s="7">
        <f t="shared" si="6"/>
        <v>2138</v>
      </c>
      <c r="AE15" s="7">
        <f t="shared" si="6"/>
        <v>2076</v>
      </c>
      <c r="AF15" s="7">
        <f t="shared" si="6"/>
        <v>2154</v>
      </c>
      <c r="AG15" s="7">
        <f t="shared" si="6"/>
        <v>2120</v>
      </c>
      <c r="AH15" s="7">
        <f t="shared" si="6"/>
        <v>2063</v>
      </c>
      <c r="AI15" s="7">
        <f t="shared" si="6"/>
        <v>0</v>
      </c>
    </row>
    <row r="16" spans="1:35" s="3" customFormat="1" ht="24.75" customHeight="1">
      <c r="A16" s="56" t="s">
        <v>47</v>
      </c>
      <c r="B16" s="7" t="s">
        <v>38</v>
      </c>
      <c r="C16" s="8">
        <f>D16+'3月'!C16</f>
        <v>5585440</v>
      </c>
      <c r="D16" s="7">
        <f t="shared" si="5"/>
        <v>1403740</v>
      </c>
      <c r="E16" s="7">
        <v>48640</v>
      </c>
      <c r="F16" s="7">
        <v>47620</v>
      </c>
      <c r="G16" s="7">
        <v>33880</v>
      </c>
      <c r="H16" s="7">
        <v>32380</v>
      </c>
      <c r="I16" s="7">
        <v>36540</v>
      </c>
      <c r="J16" s="7">
        <v>36600</v>
      </c>
      <c r="K16" s="7">
        <v>33720</v>
      </c>
      <c r="L16" s="7">
        <v>40160</v>
      </c>
      <c r="M16" s="7">
        <v>43440</v>
      </c>
      <c r="N16" s="7">
        <v>49980</v>
      </c>
      <c r="O16" s="7">
        <v>48420</v>
      </c>
      <c r="P16" s="7">
        <v>48780</v>
      </c>
      <c r="Q16" s="7">
        <v>50220</v>
      </c>
      <c r="R16" s="7">
        <v>49200</v>
      </c>
      <c r="S16" s="7">
        <v>51960</v>
      </c>
      <c r="T16" s="7">
        <v>47560</v>
      </c>
      <c r="U16" s="7">
        <v>49960</v>
      </c>
      <c r="V16" s="7">
        <v>49920</v>
      </c>
      <c r="W16" s="7">
        <v>50680</v>
      </c>
      <c r="X16" s="7">
        <v>52960</v>
      </c>
      <c r="Y16" s="7">
        <v>50480</v>
      </c>
      <c r="Z16" s="7">
        <v>52560</v>
      </c>
      <c r="AA16" s="7">
        <v>50220</v>
      </c>
      <c r="AB16" s="7">
        <v>52360</v>
      </c>
      <c r="AC16" s="7">
        <v>51960</v>
      </c>
      <c r="AD16" s="7">
        <v>47980</v>
      </c>
      <c r="AE16" s="7">
        <v>47880</v>
      </c>
      <c r="AF16" s="7">
        <v>46020</v>
      </c>
      <c r="AG16" s="7">
        <v>51320</v>
      </c>
      <c r="AH16" s="7">
        <v>50340</v>
      </c>
      <c r="AI16" s="7"/>
    </row>
    <row r="17" spans="1:35" s="3" customFormat="1" ht="24.95" customHeight="1">
      <c r="A17" s="56"/>
      <c r="B17" s="6" t="s">
        <v>48</v>
      </c>
      <c r="C17" s="11">
        <f>SUM(C16/C8)</f>
        <v>0.15284907664264238</v>
      </c>
      <c r="D17" s="11">
        <f>SUM(D16/D8)</f>
        <v>0.15145620173732155</v>
      </c>
      <c r="E17" s="11">
        <f>SUM(E16/E8)</f>
        <v>0.15068153655514249</v>
      </c>
      <c r="F17" s="11">
        <f>SUM(F16/F8)</f>
        <v>0.14941014056224899</v>
      </c>
      <c r="G17" s="11">
        <f>SUM(G16/G8)</f>
        <v>0.19854664791373652</v>
      </c>
      <c r="H17" s="11">
        <f>SUM(H16/H8)</f>
        <v>0.21015057113187954</v>
      </c>
      <c r="I17" s="11">
        <f>SUM(I16/I8)</f>
        <v>0.23826291079812206</v>
      </c>
      <c r="J17" s="11">
        <f>SUM(J16/J8)</f>
        <v>0.23680124223602483</v>
      </c>
      <c r="K17" s="11">
        <f>SUM(K16/K8)</f>
        <v>0.20907738095238096</v>
      </c>
      <c r="L17" s="11">
        <f>SUM(L16/L8)</f>
        <v>0.18188405797101448</v>
      </c>
      <c r="M17" s="11">
        <f>SUM(M16/M8)</f>
        <v>0.13154069767441862</v>
      </c>
      <c r="N17" s="11">
        <f>SUM(N16/N8)</f>
        <v>0.13709677419354838</v>
      </c>
      <c r="O17" s="11">
        <f>SUM(O16/O8)</f>
        <v>0.13522117962466487</v>
      </c>
      <c r="P17" s="11">
        <f>SUM(P16/P8)</f>
        <v>0.13714574898785425</v>
      </c>
      <c r="Q17" s="11">
        <f>SUM(Q16/Q8)</f>
        <v>0.14643107067879635</v>
      </c>
      <c r="R17" s="11">
        <f>SUM(R16/R8)</f>
        <v>0.14822848879248013</v>
      </c>
      <c r="S17" s="11">
        <f>SUM(S16/S8)</f>
        <v>0.15150454863540938</v>
      </c>
      <c r="T17" s="11">
        <f>SUM(T16/T8)</f>
        <v>0.13704472106961735</v>
      </c>
      <c r="U17" s="11">
        <f>SUM(U16/U8)</f>
        <v>0.13970917225950782</v>
      </c>
      <c r="V17" s="11">
        <f>SUM(V16/V8)</f>
        <v>0.14344827586206896</v>
      </c>
      <c r="W17" s="11">
        <f>SUM(W16/W8)</f>
        <v>0.1418177747929259</v>
      </c>
      <c r="X17" s="11">
        <f>SUM(X16/X8)</f>
        <v>0.15093479252165984</v>
      </c>
      <c r="Y17" s="11">
        <f>SUM(Y16/Y8)</f>
        <v>0.14535821239345773</v>
      </c>
      <c r="Z17" s="11">
        <f>SUM(Z16/Z8)</f>
        <v>0.16343283582089552</v>
      </c>
      <c r="AA17" s="11">
        <f>SUM(AA16/AA8)</f>
        <v>0.15010760401721665</v>
      </c>
      <c r="AB17" s="11">
        <f>SUM(AB16/AB8)</f>
        <v>0.15494791666666666</v>
      </c>
      <c r="AC17" s="11">
        <f>SUM(AC16/AC8)</f>
        <v>0.15432593780629064</v>
      </c>
      <c r="AD17" s="11">
        <f>SUM(AD16/AD8)</f>
        <v>0.13599773242630386</v>
      </c>
      <c r="AE17" s="11">
        <f>SUM(AE16/AE8)</f>
        <v>0.14019676739283204</v>
      </c>
      <c r="AF17" s="11">
        <f>SUM(AF16/AF8)</f>
        <v>0.12851876675603216</v>
      </c>
      <c r="AG17" s="11">
        <f>SUM(AG16/AG8)</f>
        <v>0.14706556625401193</v>
      </c>
      <c r="AH17" s="11">
        <f>SUM(AH16/AH8)</f>
        <v>0.14576094510076443</v>
      </c>
      <c r="AI17" s="11" t="e">
        <f>SUM(AI16/AI8)</f>
        <v>#DIV/0!</v>
      </c>
    </row>
    <row r="18" spans="1:35" s="3" customFormat="1" ht="24.95" customHeight="1">
      <c r="A18" s="13"/>
      <c r="B18" s="13" t="s">
        <v>49</v>
      </c>
      <c r="C18" s="7"/>
      <c r="D18" s="7">
        <f>COUNT(E18:AI18)</f>
        <v>30</v>
      </c>
      <c r="E18" s="14">
        <v>2200</v>
      </c>
      <c r="F18" s="14">
        <v>2500</v>
      </c>
      <c r="G18" s="14">
        <v>2800</v>
      </c>
      <c r="H18" s="14">
        <v>2800</v>
      </c>
      <c r="I18" s="14">
        <v>2900</v>
      </c>
      <c r="J18" s="7">
        <v>3300</v>
      </c>
      <c r="K18" s="14">
        <v>3500</v>
      </c>
      <c r="L18" s="14">
        <v>3500</v>
      </c>
      <c r="M18" s="7">
        <v>3400</v>
      </c>
      <c r="N18" s="7">
        <v>3200</v>
      </c>
      <c r="O18" s="7">
        <v>3100</v>
      </c>
      <c r="P18" s="7">
        <v>2800</v>
      </c>
      <c r="Q18" s="7">
        <v>2700</v>
      </c>
      <c r="R18" s="7">
        <v>2600</v>
      </c>
      <c r="S18" s="7">
        <v>2300</v>
      </c>
      <c r="T18" s="7">
        <v>2200</v>
      </c>
      <c r="U18" s="7">
        <v>2100</v>
      </c>
      <c r="V18" s="7">
        <v>2000</v>
      </c>
      <c r="W18" s="7">
        <v>1700</v>
      </c>
      <c r="X18" s="7">
        <v>1600</v>
      </c>
      <c r="Y18" s="7">
        <v>1400</v>
      </c>
      <c r="Z18" s="7">
        <v>1100</v>
      </c>
      <c r="AA18" s="7">
        <v>1200</v>
      </c>
      <c r="AB18" s="7">
        <v>1300</v>
      </c>
      <c r="AC18" s="7">
        <v>1200</v>
      </c>
      <c r="AD18" s="7">
        <v>1400</v>
      </c>
      <c r="AE18" s="7">
        <v>1600</v>
      </c>
      <c r="AF18" s="7">
        <v>1600</v>
      </c>
      <c r="AG18" s="7">
        <v>1400</v>
      </c>
      <c r="AH18" s="7">
        <v>1100</v>
      </c>
      <c r="AI18" s="7"/>
    </row>
    <row r="19" spans="1:35" s="3" customFormat="1" ht="24.95" customHeight="1">
      <c r="A19" s="61" t="s">
        <v>50</v>
      </c>
      <c r="B19" s="13" t="s">
        <v>51</v>
      </c>
      <c r="C19" s="7">
        <f>D19+'3月'!C19</f>
        <v>7352.22</v>
      </c>
      <c r="D19" s="7">
        <f t="shared" ref="D19:D28" si="7">SUM(E19:AI19)</f>
        <v>0</v>
      </c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28"/>
      <c r="T19" s="28"/>
      <c r="U19" s="28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</row>
    <row r="20" spans="1:35" s="3" customFormat="1" ht="24.95" customHeight="1">
      <c r="A20" s="62"/>
      <c r="B20" s="13" t="s">
        <v>52</v>
      </c>
      <c r="C20" s="7">
        <f>D20+'3月'!C20</f>
        <v>34312.54</v>
      </c>
      <c r="D20" s="7">
        <f t="shared" si="7"/>
        <v>9252.68</v>
      </c>
      <c r="E20" s="15">
        <v>321.36</v>
      </c>
      <c r="F20" s="15">
        <v>326.14</v>
      </c>
      <c r="G20" s="15">
        <v>324.3</v>
      </c>
      <c r="H20" s="15">
        <v>239.32</v>
      </c>
      <c r="I20" s="15">
        <v>313.3</v>
      </c>
      <c r="J20" s="15">
        <v>321</v>
      </c>
      <c r="K20" s="15">
        <v>302.76</v>
      </c>
      <c r="L20" s="15">
        <v>306.8</v>
      </c>
      <c r="M20" s="15">
        <v>301.82</v>
      </c>
      <c r="N20" s="15">
        <v>303.52</v>
      </c>
      <c r="O20" s="15">
        <v>308.36</v>
      </c>
      <c r="P20" s="15">
        <v>320.56</v>
      </c>
      <c r="Q20" s="15">
        <v>347.08</v>
      </c>
      <c r="R20" s="15">
        <v>317.3</v>
      </c>
      <c r="S20" s="28">
        <v>274.72000000000003</v>
      </c>
      <c r="T20" s="28">
        <v>309.8</v>
      </c>
      <c r="U20" s="28">
        <v>308.04000000000002</v>
      </c>
      <c r="V20" s="15">
        <v>309.77999999999997</v>
      </c>
      <c r="W20" s="15">
        <v>331.12</v>
      </c>
      <c r="X20" s="15">
        <v>304.92</v>
      </c>
      <c r="Y20" s="15">
        <v>287.2</v>
      </c>
      <c r="Z20" s="15">
        <v>334.14</v>
      </c>
      <c r="AA20" s="15">
        <v>275.54000000000002</v>
      </c>
      <c r="AB20" s="15">
        <v>313.12</v>
      </c>
      <c r="AC20" s="15">
        <v>292.89999999999998</v>
      </c>
      <c r="AD20" s="15">
        <v>308.33999999999997</v>
      </c>
      <c r="AE20" s="15">
        <v>326.66000000000003</v>
      </c>
      <c r="AF20" s="15">
        <v>319.64</v>
      </c>
      <c r="AG20" s="15">
        <v>297.44</v>
      </c>
      <c r="AH20" s="15">
        <v>305.7</v>
      </c>
      <c r="AI20" s="15"/>
    </row>
    <row r="21" spans="1:35" s="3" customFormat="1" ht="24.95" customHeight="1">
      <c r="A21" s="62"/>
      <c r="B21" s="13" t="s">
        <v>53</v>
      </c>
      <c r="C21" s="7">
        <f>D21+'3月'!C21</f>
        <v>0</v>
      </c>
      <c r="D21" s="7">
        <f t="shared" si="7"/>
        <v>0</v>
      </c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28"/>
      <c r="T21" s="28"/>
      <c r="U21" s="28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</row>
    <row r="22" spans="1:35" s="3" customFormat="1" ht="24.95" customHeight="1">
      <c r="A22" s="62"/>
      <c r="B22" s="13" t="s">
        <v>54</v>
      </c>
      <c r="C22" s="7">
        <f>D22+'3月'!C22</f>
        <v>0</v>
      </c>
      <c r="D22" s="7">
        <f t="shared" si="7"/>
        <v>0</v>
      </c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28"/>
      <c r="T22" s="28"/>
      <c r="U22" s="28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</row>
    <row r="23" spans="1:35" s="3" customFormat="1" ht="22.15" customHeight="1">
      <c r="A23" s="62"/>
      <c r="B23" s="13" t="s">
        <v>55</v>
      </c>
      <c r="C23" s="7">
        <f>D23+'3月'!C23</f>
        <v>0</v>
      </c>
      <c r="D23" s="7">
        <f t="shared" si="7"/>
        <v>0</v>
      </c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28"/>
      <c r="T23" s="28"/>
      <c r="U23" s="28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</row>
    <row r="24" spans="1:35" s="3" customFormat="1" ht="22.15" customHeight="1">
      <c r="A24" s="62"/>
      <c r="B24" s="13" t="s">
        <v>56</v>
      </c>
      <c r="C24" s="7">
        <f>D24+'3月'!C24</f>
        <v>1572.5399999999997</v>
      </c>
      <c r="D24" s="7">
        <f t="shared" si="7"/>
        <v>1572.5399999999997</v>
      </c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28"/>
      <c r="T24" s="28"/>
      <c r="U24" s="28"/>
      <c r="V24" s="15"/>
      <c r="W24" s="15"/>
      <c r="X24" s="15"/>
      <c r="Y24" s="15"/>
      <c r="Z24" s="15"/>
      <c r="AA24" s="15">
        <v>194.76</v>
      </c>
      <c r="AB24" s="15">
        <v>162.68</v>
      </c>
      <c r="AC24" s="15">
        <v>199.44</v>
      </c>
      <c r="AD24" s="15">
        <v>220.7</v>
      </c>
      <c r="AE24" s="15">
        <v>187.78</v>
      </c>
      <c r="AF24" s="15">
        <v>189.26</v>
      </c>
      <c r="AG24" s="15">
        <v>215.58</v>
      </c>
      <c r="AH24" s="15">
        <v>202.34</v>
      </c>
      <c r="AI24" s="15"/>
    </row>
    <row r="25" spans="1:35" s="3" customFormat="1" ht="21.75" customHeight="1">
      <c r="A25" s="62"/>
      <c r="B25" s="13" t="s">
        <v>57</v>
      </c>
      <c r="C25" s="7">
        <f>D25+'3月'!C25</f>
        <v>36172.5</v>
      </c>
      <c r="D25" s="7">
        <f t="shared" si="7"/>
        <v>9812.9599999999991</v>
      </c>
      <c r="E25" s="15">
        <v>277.44</v>
      </c>
      <c r="F25" s="15">
        <v>419.64</v>
      </c>
      <c r="G25" s="15">
        <v>335.08</v>
      </c>
      <c r="H25" s="15">
        <v>110.9</v>
      </c>
      <c r="I25" s="15">
        <v>181.04</v>
      </c>
      <c r="J25" s="15">
        <v>395.68</v>
      </c>
      <c r="K25" s="15">
        <v>384.08</v>
      </c>
      <c r="L25" s="15">
        <v>342.96</v>
      </c>
      <c r="M25" s="15">
        <v>299.02</v>
      </c>
      <c r="N25" s="15">
        <v>296.36</v>
      </c>
      <c r="O25" s="15">
        <v>328.06</v>
      </c>
      <c r="P25" s="15">
        <v>347.46</v>
      </c>
      <c r="Q25" s="15">
        <v>322.77999999999997</v>
      </c>
      <c r="R25" s="15">
        <v>368.34</v>
      </c>
      <c r="S25" s="28">
        <v>364.5</v>
      </c>
      <c r="T25" s="28">
        <v>357</v>
      </c>
      <c r="U25" s="28">
        <v>373.76</v>
      </c>
      <c r="V25" s="15">
        <v>368.02</v>
      </c>
      <c r="W25" s="15">
        <v>296.48</v>
      </c>
      <c r="X25" s="15">
        <v>349.98</v>
      </c>
      <c r="Y25" s="15">
        <v>265.92</v>
      </c>
      <c r="Z25" s="15">
        <v>351.06</v>
      </c>
      <c r="AA25" s="15">
        <v>336.64</v>
      </c>
      <c r="AB25" s="15">
        <v>332.14</v>
      </c>
      <c r="AC25" s="15">
        <v>302.98</v>
      </c>
      <c r="AD25" s="15">
        <v>396.96</v>
      </c>
      <c r="AE25" s="15">
        <v>358.96</v>
      </c>
      <c r="AF25" s="15">
        <v>269.66000000000003</v>
      </c>
      <c r="AG25" s="15">
        <v>374.76</v>
      </c>
      <c r="AH25" s="15">
        <v>305.3</v>
      </c>
      <c r="AI25" s="15"/>
    </row>
    <row r="26" spans="1:35" s="3" customFormat="1" ht="18" customHeight="1">
      <c r="A26" s="62"/>
      <c r="B26" s="13" t="s">
        <v>58</v>
      </c>
      <c r="C26" s="7">
        <f>D26+'3月'!C26</f>
        <v>5954.4</v>
      </c>
      <c r="D26" s="7">
        <f t="shared" si="7"/>
        <v>2467.08</v>
      </c>
      <c r="E26" s="15">
        <v>85.28</v>
      </c>
      <c r="F26" s="15">
        <v>90.88</v>
      </c>
      <c r="G26" s="15">
        <v>79.319999999999993</v>
      </c>
      <c r="H26" s="15">
        <v>83.04</v>
      </c>
      <c r="I26" s="15">
        <v>81.08</v>
      </c>
      <c r="J26" s="15">
        <v>103.06</v>
      </c>
      <c r="K26" s="15">
        <v>69.5</v>
      </c>
      <c r="L26" s="15">
        <v>88.8</v>
      </c>
      <c r="M26" s="15">
        <v>82.58</v>
      </c>
      <c r="N26" s="15">
        <v>84.02</v>
      </c>
      <c r="O26" s="15">
        <v>82.98</v>
      </c>
      <c r="P26" s="15">
        <v>80.3</v>
      </c>
      <c r="Q26" s="15">
        <v>79.5</v>
      </c>
      <c r="R26" s="15">
        <v>87.22</v>
      </c>
      <c r="S26" s="15">
        <v>95</v>
      </c>
      <c r="T26" s="28">
        <v>70.819999999999993</v>
      </c>
      <c r="U26" s="28">
        <v>85.36</v>
      </c>
      <c r="V26" s="15">
        <v>71.760000000000005</v>
      </c>
      <c r="W26" s="15">
        <v>81.8</v>
      </c>
      <c r="X26" s="15">
        <v>90.88</v>
      </c>
      <c r="Y26" s="15">
        <v>82.18</v>
      </c>
      <c r="Z26" s="15">
        <v>73.78</v>
      </c>
      <c r="AA26" s="15">
        <v>79.02</v>
      </c>
      <c r="AB26" s="15">
        <v>78.459999999999994</v>
      </c>
      <c r="AC26" s="15">
        <v>76.28</v>
      </c>
      <c r="AD26" s="15">
        <v>88.38</v>
      </c>
      <c r="AE26" s="15">
        <v>70.66</v>
      </c>
      <c r="AF26" s="15">
        <v>94.68</v>
      </c>
      <c r="AG26" s="15">
        <v>66.7</v>
      </c>
      <c r="AH26" s="15">
        <v>83.76</v>
      </c>
      <c r="AI26" s="15"/>
    </row>
    <row r="27" spans="1:35" s="3" customFormat="1" ht="18" customHeight="1">
      <c r="A27" s="62"/>
      <c r="B27" s="16" t="s">
        <v>59</v>
      </c>
      <c r="C27" s="7">
        <f>D27+'3月'!C27</f>
        <v>0</v>
      </c>
      <c r="D27" s="7">
        <f t="shared" si="7"/>
        <v>0</v>
      </c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28"/>
      <c r="U27" s="28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</row>
    <row r="28" spans="1:35" s="3" customFormat="1" ht="18" customHeight="1">
      <c r="A28" s="62"/>
      <c r="B28" s="16" t="s">
        <v>60</v>
      </c>
      <c r="C28" s="7">
        <f>D28+'3月'!C28</f>
        <v>0</v>
      </c>
      <c r="D28" s="7">
        <f t="shared" si="7"/>
        <v>0</v>
      </c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28"/>
      <c r="U28" s="28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</row>
    <row r="29" spans="1:35" s="3" customFormat="1" ht="18" hidden="1" customHeight="1">
      <c r="A29" s="63"/>
      <c r="B29" s="16"/>
      <c r="C29" s="7">
        <f>D29+'3月'!C29</f>
        <v>0</v>
      </c>
      <c r="D29" s="7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</row>
    <row r="30" spans="1:35" s="3" customFormat="1" ht="26.1" customHeight="1">
      <c r="A30" s="12"/>
      <c r="B30" s="12" t="s">
        <v>61</v>
      </c>
      <c r="C30" s="7">
        <f>D30+'3月'!C30</f>
        <v>85364.200000000012</v>
      </c>
      <c r="D30" s="7">
        <f>SUM(D19:D29)</f>
        <v>23105.260000000002</v>
      </c>
      <c r="E30" s="7">
        <f>SUM(E19:E29)</f>
        <v>684.07999999999993</v>
      </c>
      <c r="F30" s="7">
        <f t="shared" ref="F30:AI30" si="8">SUM(F19:F29)</f>
        <v>836.66</v>
      </c>
      <c r="G30" s="7">
        <f t="shared" si="8"/>
        <v>738.7</v>
      </c>
      <c r="H30" s="7">
        <f t="shared" si="8"/>
        <v>433.26000000000005</v>
      </c>
      <c r="I30" s="7">
        <f t="shared" si="8"/>
        <v>575.42000000000007</v>
      </c>
      <c r="J30" s="7">
        <f t="shared" si="8"/>
        <v>819.74</v>
      </c>
      <c r="K30" s="7">
        <f t="shared" si="8"/>
        <v>756.33999999999992</v>
      </c>
      <c r="L30" s="7">
        <f t="shared" si="8"/>
        <v>738.56</v>
      </c>
      <c r="M30" s="7">
        <f t="shared" si="8"/>
        <v>683.42</v>
      </c>
      <c r="N30" s="7">
        <f t="shared" si="8"/>
        <v>683.9</v>
      </c>
      <c r="O30" s="7">
        <f t="shared" si="8"/>
        <v>719.40000000000009</v>
      </c>
      <c r="P30" s="7">
        <f t="shared" si="8"/>
        <v>748.31999999999994</v>
      </c>
      <c r="Q30" s="7">
        <f t="shared" si="8"/>
        <v>749.3599999999999</v>
      </c>
      <c r="R30" s="7">
        <f t="shared" si="8"/>
        <v>772.86</v>
      </c>
      <c r="S30" s="7">
        <f t="shared" si="8"/>
        <v>734.22</v>
      </c>
      <c r="T30" s="7">
        <f t="shared" si="8"/>
        <v>737.61999999999989</v>
      </c>
      <c r="U30" s="7">
        <f t="shared" si="8"/>
        <v>767.16</v>
      </c>
      <c r="V30" s="7">
        <f t="shared" si="8"/>
        <v>749.56</v>
      </c>
      <c r="W30" s="7">
        <f t="shared" si="8"/>
        <v>709.4</v>
      </c>
      <c r="X30" s="7">
        <f t="shared" si="8"/>
        <v>745.78000000000009</v>
      </c>
      <c r="Y30" s="7">
        <f t="shared" si="8"/>
        <v>635.29999999999995</v>
      </c>
      <c r="Z30" s="7">
        <f t="shared" si="8"/>
        <v>758.98</v>
      </c>
      <c r="AA30" s="7">
        <f t="shared" si="8"/>
        <v>885.96</v>
      </c>
      <c r="AB30" s="7">
        <f t="shared" si="8"/>
        <v>886.40000000000009</v>
      </c>
      <c r="AC30" s="7">
        <f t="shared" si="8"/>
        <v>871.59999999999991</v>
      </c>
      <c r="AD30" s="7">
        <f t="shared" si="8"/>
        <v>1014.38</v>
      </c>
      <c r="AE30" s="7">
        <f t="shared" si="8"/>
        <v>944.06000000000006</v>
      </c>
      <c r="AF30" s="7">
        <f t="shared" si="8"/>
        <v>873.24</v>
      </c>
      <c r="AG30" s="7">
        <f t="shared" si="8"/>
        <v>954.48</v>
      </c>
      <c r="AH30" s="7">
        <f t="shared" si="8"/>
        <v>897.09999999999991</v>
      </c>
      <c r="AI30" s="7">
        <f t="shared" si="8"/>
        <v>0</v>
      </c>
    </row>
    <row r="31" spans="1:35" s="3" customFormat="1" ht="24.95" customHeight="1">
      <c r="A31" s="57" t="s">
        <v>62</v>
      </c>
      <c r="B31" s="7" t="s">
        <v>63</v>
      </c>
      <c r="C31" s="7">
        <f>D31+'3月'!C31</f>
        <v>17308.600000000002</v>
      </c>
      <c r="D31" s="7">
        <f t="shared" ref="D31:D37" si="9">SUM(E31:AI31)</f>
        <v>4023.2200000000003</v>
      </c>
      <c r="E31" s="7">
        <v>117.74</v>
      </c>
      <c r="F31" s="7">
        <v>174.74</v>
      </c>
      <c r="G31" s="7">
        <v>140.88</v>
      </c>
      <c r="H31" s="29">
        <v>105.4</v>
      </c>
      <c r="I31" s="7">
        <v>60.84</v>
      </c>
      <c r="J31" s="7">
        <v>85.96</v>
      </c>
      <c r="K31" s="7">
        <v>77.8</v>
      </c>
      <c r="L31" s="7">
        <v>39.94</v>
      </c>
      <c r="M31" s="7">
        <v>116.18</v>
      </c>
      <c r="N31" s="7">
        <v>165.04</v>
      </c>
      <c r="O31" s="7">
        <v>160.28</v>
      </c>
      <c r="P31" s="7">
        <v>182.54</v>
      </c>
      <c r="Q31" s="7">
        <v>145.54</v>
      </c>
      <c r="R31" s="7">
        <v>155.46</v>
      </c>
      <c r="S31" s="7">
        <v>128.88</v>
      </c>
      <c r="T31" s="7">
        <v>152</v>
      </c>
      <c r="U31" s="29">
        <v>141.46</v>
      </c>
      <c r="V31" s="7">
        <v>185.66</v>
      </c>
      <c r="W31" s="7">
        <v>212.06</v>
      </c>
      <c r="X31" s="7">
        <v>189.44</v>
      </c>
      <c r="Y31" s="7">
        <v>148.78</v>
      </c>
      <c r="Z31" s="7">
        <v>64.88</v>
      </c>
      <c r="AA31" s="7">
        <v>59.78</v>
      </c>
      <c r="AB31" s="29">
        <v>144.97999999999999</v>
      </c>
      <c r="AC31" s="29">
        <v>145.9</v>
      </c>
      <c r="AD31" s="29">
        <v>139.04</v>
      </c>
      <c r="AE31" s="29">
        <v>162.32</v>
      </c>
      <c r="AF31" s="29">
        <v>188.08</v>
      </c>
      <c r="AG31" s="29">
        <v>121.68</v>
      </c>
      <c r="AH31" s="29">
        <v>109.94</v>
      </c>
      <c r="AI31" s="7"/>
    </row>
    <row r="32" spans="1:35" s="3" customFormat="1" ht="24.95" customHeight="1">
      <c r="A32" s="57"/>
      <c r="B32" s="7" t="s">
        <v>64</v>
      </c>
      <c r="C32" s="7">
        <f>D32+'3月'!C32</f>
        <v>2066.7200000000003</v>
      </c>
      <c r="D32" s="7">
        <f t="shared" si="9"/>
        <v>549.90000000000009</v>
      </c>
      <c r="E32" s="7">
        <v>0</v>
      </c>
      <c r="F32" s="7">
        <v>35.92</v>
      </c>
      <c r="G32" s="7">
        <v>0</v>
      </c>
      <c r="H32" s="20">
        <v>22.02</v>
      </c>
      <c r="I32" s="7">
        <v>0</v>
      </c>
      <c r="J32" s="7">
        <v>0</v>
      </c>
      <c r="K32" s="7">
        <v>0</v>
      </c>
      <c r="L32" s="7">
        <v>0</v>
      </c>
      <c r="M32" s="7">
        <v>0</v>
      </c>
      <c r="N32" s="7">
        <v>11.54</v>
      </c>
      <c r="O32" s="7">
        <v>12.48</v>
      </c>
      <c r="P32" s="7">
        <v>0</v>
      </c>
      <c r="Q32" s="7">
        <v>32.04</v>
      </c>
      <c r="R32" s="7">
        <v>0</v>
      </c>
      <c r="S32" s="7">
        <v>30.22</v>
      </c>
      <c r="T32" s="7">
        <v>12.56</v>
      </c>
      <c r="U32" s="7">
        <v>28.44</v>
      </c>
      <c r="V32" s="7">
        <v>0</v>
      </c>
      <c r="W32" s="7">
        <v>56.14</v>
      </c>
      <c r="X32" s="7">
        <v>52.34</v>
      </c>
      <c r="Y32" s="7">
        <v>44.46</v>
      </c>
      <c r="Z32" s="7">
        <v>38.6</v>
      </c>
      <c r="AA32" s="7">
        <v>10.16</v>
      </c>
      <c r="AB32" s="20">
        <v>21.9</v>
      </c>
      <c r="AC32" s="20">
        <v>31.56</v>
      </c>
      <c r="AD32" s="20">
        <v>29.18</v>
      </c>
      <c r="AE32" s="20">
        <v>24.76</v>
      </c>
      <c r="AF32" s="20">
        <v>20.34</v>
      </c>
      <c r="AG32" s="20">
        <v>16.54</v>
      </c>
      <c r="AH32" s="20">
        <v>18.7</v>
      </c>
      <c r="AI32" s="7"/>
    </row>
    <row r="33" spans="1:35" s="3" customFormat="1" ht="24.95" customHeight="1">
      <c r="A33" s="57"/>
      <c r="B33" s="6" t="s">
        <v>65</v>
      </c>
      <c r="C33" s="7">
        <f>D33+'3月'!C33</f>
        <v>4728</v>
      </c>
      <c r="D33" s="7">
        <f t="shared" si="9"/>
        <v>1721</v>
      </c>
      <c r="E33" s="7">
        <v>0</v>
      </c>
      <c r="F33" s="7">
        <v>0</v>
      </c>
      <c r="G33" s="7">
        <v>0</v>
      </c>
      <c r="H33" s="7">
        <v>0</v>
      </c>
      <c r="I33" s="7">
        <v>125</v>
      </c>
      <c r="J33" s="7">
        <v>0</v>
      </c>
      <c r="K33" s="7">
        <v>139</v>
      </c>
      <c r="L33" s="7">
        <v>81</v>
      </c>
      <c r="M33" s="7">
        <v>0</v>
      </c>
      <c r="N33" s="7">
        <v>0</v>
      </c>
      <c r="O33" s="7">
        <v>0</v>
      </c>
      <c r="P33" s="7">
        <v>239</v>
      </c>
      <c r="Q33" s="7">
        <v>0</v>
      </c>
      <c r="R33" s="7">
        <v>0</v>
      </c>
      <c r="S33" s="7">
        <v>155</v>
      </c>
      <c r="T33" s="7">
        <v>0</v>
      </c>
      <c r="U33" s="7">
        <v>0</v>
      </c>
      <c r="V33" s="7">
        <v>0</v>
      </c>
      <c r="W33" s="7">
        <v>200</v>
      </c>
      <c r="X33" s="7">
        <v>0</v>
      </c>
      <c r="Y33" s="7">
        <v>0</v>
      </c>
      <c r="Z33" s="7">
        <v>250</v>
      </c>
      <c r="AA33" s="7">
        <v>0</v>
      </c>
      <c r="AB33" s="7">
        <v>0</v>
      </c>
      <c r="AC33" s="7">
        <v>221</v>
      </c>
      <c r="AD33" s="7">
        <v>0</v>
      </c>
      <c r="AE33" s="7">
        <v>0</v>
      </c>
      <c r="AF33" s="7">
        <v>0</v>
      </c>
      <c r="AG33" s="7">
        <v>0</v>
      </c>
      <c r="AH33" s="7">
        <v>311</v>
      </c>
      <c r="AI33" s="7"/>
    </row>
    <row r="34" spans="1:35" s="3" customFormat="1" ht="24.95" customHeight="1">
      <c r="A34" s="57"/>
      <c r="B34" s="7" t="s">
        <v>66</v>
      </c>
      <c r="C34" s="7">
        <f>D34+'3月'!C34</f>
        <v>21465</v>
      </c>
      <c r="D34" s="7">
        <f t="shared" si="9"/>
        <v>6979</v>
      </c>
      <c r="E34" s="7">
        <v>240</v>
      </c>
      <c r="F34" s="7">
        <v>196</v>
      </c>
      <c r="G34" s="7">
        <v>188</v>
      </c>
      <c r="H34" s="7">
        <v>227</v>
      </c>
      <c r="I34" s="7">
        <v>232</v>
      </c>
      <c r="J34" s="7">
        <v>180</v>
      </c>
      <c r="K34" s="7">
        <v>152</v>
      </c>
      <c r="L34" s="7">
        <v>192</v>
      </c>
      <c r="M34" s="7">
        <v>192</v>
      </c>
      <c r="N34" s="7">
        <v>196</v>
      </c>
      <c r="O34" s="7">
        <v>245</v>
      </c>
      <c r="P34" s="7">
        <v>245</v>
      </c>
      <c r="Q34" s="7">
        <v>265</v>
      </c>
      <c r="R34" s="7">
        <v>172</v>
      </c>
      <c r="S34" s="7">
        <v>255</v>
      </c>
      <c r="T34" s="7">
        <v>271</v>
      </c>
      <c r="U34" s="7">
        <v>269</v>
      </c>
      <c r="V34" s="7">
        <v>268</v>
      </c>
      <c r="W34" s="7">
        <v>266</v>
      </c>
      <c r="X34" s="7">
        <v>301</v>
      </c>
      <c r="Y34" s="7">
        <v>327</v>
      </c>
      <c r="Z34" s="7">
        <v>303</v>
      </c>
      <c r="AA34" s="7">
        <v>312</v>
      </c>
      <c r="AB34" s="7">
        <v>321</v>
      </c>
      <c r="AC34" s="7">
        <v>206</v>
      </c>
      <c r="AD34" s="7">
        <v>174</v>
      </c>
      <c r="AE34" s="7">
        <v>135</v>
      </c>
      <c r="AF34" s="7">
        <v>174</v>
      </c>
      <c r="AG34" s="7">
        <v>215</v>
      </c>
      <c r="AH34" s="7">
        <v>260</v>
      </c>
      <c r="AI34" s="7"/>
    </row>
    <row r="35" spans="1:35" s="3" customFormat="1" ht="24.95" customHeight="1">
      <c r="A35" s="58" t="s">
        <v>67</v>
      </c>
      <c r="B35" s="7" t="s">
        <v>68</v>
      </c>
      <c r="C35" s="7">
        <f>D35+'3月'!C35</f>
        <v>198.1</v>
      </c>
      <c r="D35" s="7">
        <f t="shared" si="9"/>
        <v>50.78799999999999</v>
      </c>
      <c r="E35" s="40">
        <v>1.6879999999999999</v>
      </c>
      <c r="F35" s="40">
        <v>1.8740000000000001</v>
      </c>
      <c r="G35" s="40">
        <v>0.80400000000000005</v>
      </c>
      <c r="H35" s="41">
        <v>0.82399999999999995</v>
      </c>
      <c r="I35" s="41">
        <v>0.83799999999999997</v>
      </c>
      <c r="J35" s="41">
        <v>0.71</v>
      </c>
      <c r="K35" s="41">
        <v>0.73099999999999998</v>
      </c>
      <c r="L35" s="41">
        <v>1.077</v>
      </c>
      <c r="M35" s="41">
        <v>1.81</v>
      </c>
      <c r="N35" s="41">
        <v>2.0249999999999999</v>
      </c>
      <c r="O35" s="41">
        <v>1.976</v>
      </c>
      <c r="P35" s="41">
        <v>1.883</v>
      </c>
      <c r="Q35" s="41">
        <v>1.909</v>
      </c>
      <c r="R35" s="41">
        <v>1.8149999999999999</v>
      </c>
      <c r="S35" s="41">
        <v>1.857</v>
      </c>
      <c r="T35" s="43">
        <v>2.0379999999999998</v>
      </c>
      <c r="U35" s="41">
        <v>1.996</v>
      </c>
      <c r="V35" s="41">
        <v>1.9379999999999999</v>
      </c>
      <c r="W35" s="41">
        <v>1.873</v>
      </c>
      <c r="X35" s="41">
        <v>2.0249999999999999</v>
      </c>
      <c r="Y35" s="41">
        <v>1.9059999999999999</v>
      </c>
      <c r="Z35" s="41">
        <v>1.7609999999999999</v>
      </c>
      <c r="AA35" s="41">
        <v>1.887</v>
      </c>
      <c r="AB35" s="41">
        <v>1.952</v>
      </c>
      <c r="AC35" s="41">
        <v>1.849</v>
      </c>
      <c r="AD35" s="41">
        <v>1.98</v>
      </c>
      <c r="AE35" s="41">
        <v>1.843</v>
      </c>
      <c r="AF35" s="44">
        <v>2.0190000000000001</v>
      </c>
      <c r="AG35" s="41">
        <v>1.962</v>
      </c>
      <c r="AH35" s="41">
        <v>1.9379999999999999</v>
      </c>
      <c r="AI35" s="7"/>
    </row>
    <row r="36" spans="1:35" s="3" customFormat="1" ht="24.95" customHeight="1">
      <c r="A36" s="59"/>
      <c r="B36" s="7" t="s">
        <v>69</v>
      </c>
      <c r="C36" s="7">
        <f>D36+'3月'!C36</f>
        <v>715.05100000000004</v>
      </c>
      <c r="D36" s="7">
        <f t="shared" si="9"/>
        <v>213.80000000000007</v>
      </c>
      <c r="E36" s="42">
        <v>6</v>
      </c>
      <c r="F36" s="42">
        <v>6</v>
      </c>
      <c r="G36" s="42">
        <v>6</v>
      </c>
      <c r="H36" s="42">
        <v>3</v>
      </c>
      <c r="I36" s="42">
        <v>3</v>
      </c>
      <c r="J36" s="42">
        <v>3</v>
      </c>
      <c r="K36" s="42">
        <v>3</v>
      </c>
      <c r="L36" s="42">
        <v>6</v>
      </c>
      <c r="M36" s="42">
        <v>6</v>
      </c>
      <c r="N36" s="42">
        <v>6.8</v>
      </c>
      <c r="O36" s="42">
        <v>6.8</v>
      </c>
      <c r="P36" s="42">
        <v>6.8</v>
      </c>
      <c r="Q36" s="42">
        <v>6.8</v>
      </c>
      <c r="R36" s="42">
        <v>6.8</v>
      </c>
      <c r="S36" s="42">
        <v>6.8</v>
      </c>
      <c r="T36" s="42">
        <v>6.8</v>
      </c>
      <c r="U36" s="42">
        <v>6.8</v>
      </c>
      <c r="V36" s="42">
        <v>6.8</v>
      </c>
      <c r="W36" s="42">
        <v>6.8</v>
      </c>
      <c r="X36" s="42">
        <v>6.8</v>
      </c>
      <c r="Y36" s="42">
        <v>8.8000000000000007</v>
      </c>
      <c r="Z36" s="42">
        <v>9.8000000000000007</v>
      </c>
      <c r="AA36" s="42">
        <v>9.8000000000000007</v>
      </c>
      <c r="AB36" s="42">
        <v>9.8000000000000007</v>
      </c>
      <c r="AC36" s="42">
        <v>9.8000000000000007</v>
      </c>
      <c r="AD36" s="42">
        <v>9.8000000000000007</v>
      </c>
      <c r="AE36" s="42">
        <v>9.8000000000000007</v>
      </c>
      <c r="AF36" s="42">
        <v>9.8000000000000007</v>
      </c>
      <c r="AG36" s="42">
        <v>9.8000000000000007</v>
      </c>
      <c r="AH36" s="42">
        <v>9.8000000000000007</v>
      </c>
      <c r="AI36" s="7"/>
    </row>
    <row r="37" spans="1:35" s="3" customFormat="1" ht="24.95" customHeight="1">
      <c r="A37" s="60"/>
      <c r="B37" s="7" t="s">
        <v>70</v>
      </c>
      <c r="C37" s="7">
        <f>D37+'3月'!C37</f>
        <v>35.007000000000005</v>
      </c>
      <c r="D37" s="7">
        <f t="shared" si="9"/>
        <v>10.080000000000002</v>
      </c>
      <c r="E37" s="7">
        <v>0.3</v>
      </c>
      <c r="F37" s="7">
        <v>0.3</v>
      </c>
      <c r="G37" s="7">
        <v>0.3</v>
      </c>
      <c r="H37" s="7">
        <v>0.15</v>
      </c>
      <c r="I37" s="7">
        <v>0.15</v>
      </c>
      <c r="J37" s="7">
        <v>0.15</v>
      </c>
      <c r="K37" s="7">
        <v>0.15</v>
      </c>
      <c r="L37" s="7">
        <v>0.3</v>
      </c>
      <c r="M37" s="7">
        <v>0.3</v>
      </c>
      <c r="N37" s="7">
        <v>0.38</v>
      </c>
      <c r="O37" s="7">
        <v>0.38</v>
      </c>
      <c r="P37" s="7">
        <v>0.38</v>
      </c>
      <c r="Q37" s="7">
        <v>0.38</v>
      </c>
      <c r="R37" s="7">
        <v>0.38</v>
      </c>
      <c r="S37" s="7">
        <v>0.38</v>
      </c>
      <c r="T37" s="7">
        <v>0.38</v>
      </c>
      <c r="U37" s="7">
        <v>0.38</v>
      </c>
      <c r="V37" s="7">
        <v>0.38</v>
      </c>
      <c r="W37" s="7">
        <v>0.38</v>
      </c>
      <c r="X37" s="7">
        <v>0.38</v>
      </c>
      <c r="Y37" s="7">
        <v>0.38</v>
      </c>
      <c r="Z37" s="7">
        <v>0.38</v>
      </c>
      <c r="AA37" s="7">
        <v>0.38</v>
      </c>
      <c r="AB37" s="7">
        <v>0.38</v>
      </c>
      <c r="AC37" s="7">
        <v>0.38</v>
      </c>
      <c r="AD37" s="7">
        <v>0.38</v>
      </c>
      <c r="AE37" s="7">
        <v>0.38</v>
      </c>
      <c r="AF37" s="7">
        <v>0.38</v>
      </c>
      <c r="AG37" s="7">
        <v>0.38</v>
      </c>
      <c r="AH37" s="7">
        <v>0.38</v>
      </c>
      <c r="AI37" s="7"/>
    </row>
    <row r="38" spans="1:35" s="1" customFormat="1" ht="18" customHeight="1">
      <c r="B38" s="22" t="s">
        <v>71</v>
      </c>
      <c r="C38" s="23">
        <f>C31/C5</f>
        <v>0.20093218715717745</v>
      </c>
      <c r="D38" s="23">
        <f>D31/D5</f>
        <v>0.18942694772328136</v>
      </c>
      <c r="G38" s="24"/>
    </row>
    <row r="39" spans="1:35" s="1" customFormat="1" ht="18" customHeight="1">
      <c r="B39" s="22" t="s">
        <v>72</v>
      </c>
      <c r="C39" s="23">
        <f>C32/C5</f>
        <v>2.3992152446846181E-2</v>
      </c>
      <c r="D39" s="23">
        <f>D32/D5</f>
        <v>2.5891171388348743E-2</v>
      </c>
      <c r="G39" s="24"/>
    </row>
    <row r="40" spans="1:35" s="1" customFormat="1" ht="18" customHeight="1">
      <c r="B40" s="22" t="s">
        <v>73</v>
      </c>
      <c r="C40" s="23">
        <f>C33/C5</f>
        <v>5.4886436850995167E-2</v>
      </c>
      <c r="D40" s="23">
        <f>D33/D5</f>
        <v>8.1030561846423321E-2</v>
      </c>
      <c r="G40" s="24"/>
    </row>
    <row r="41" spans="1:35">
      <c r="G41" s="25"/>
    </row>
    <row r="42" spans="1:35">
      <c r="G42" s="25"/>
    </row>
    <row r="43" spans="1:35">
      <c r="G43" s="25"/>
    </row>
    <row r="44" spans="1:35">
      <c r="G44" s="25"/>
    </row>
    <row r="45" spans="1:35">
      <c r="G45" s="25"/>
    </row>
    <row r="46" spans="1:35">
      <c r="G46" s="25"/>
    </row>
    <row r="47" spans="1:35">
      <c r="G47" s="25"/>
    </row>
    <row r="48" spans="1:35">
      <c r="G48" s="25"/>
    </row>
    <row r="49" spans="7:7">
      <c r="G49" s="25"/>
    </row>
    <row r="50" spans="7:7">
      <c r="G50" s="25"/>
    </row>
    <row r="51" spans="7:7">
      <c r="G51" s="25"/>
    </row>
    <row r="52" spans="7:7">
      <c r="G52" s="25"/>
    </row>
    <row r="53" spans="7:7">
      <c r="G53" s="25"/>
    </row>
    <row r="54" spans="7:7">
      <c r="G54" s="25"/>
    </row>
    <row r="55" spans="7:7">
      <c r="G55" s="25"/>
    </row>
    <row r="56" spans="7:7">
      <c r="G56" s="25"/>
    </row>
    <row r="57" spans="7:7">
      <c r="G57" s="25"/>
    </row>
    <row r="58" spans="7:7">
      <c r="G58" s="25"/>
    </row>
    <row r="59" spans="7:7">
      <c r="G59" s="25"/>
    </row>
    <row r="60" spans="7:7">
      <c r="G60" s="25"/>
    </row>
    <row r="61" spans="7:7">
      <c r="G61" s="25"/>
    </row>
    <row r="62" spans="7:7">
      <c r="G62" s="25"/>
    </row>
    <row r="63" spans="7:7">
      <c r="G63" s="25"/>
    </row>
  </sheetData>
  <mergeCells count="10">
    <mergeCell ref="A35:A37"/>
    <mergeCell ref="A13:A15"/>
    <mergeCell ref="A16:A17"/>
    <mergeCell ref="A19:A29"/>
    <mergeCell ref="A31:A34"/>
    <mergeCell ref="A1:B1"/>
    <mergeCell ref="C1:AI1"/>
    <mergeCell ref="A3:A5"/>
    <mergeCell ref="A6:A8"/>
    <mergeCell ref="A9:A12"/>
  </mergeCells>
  <phoneticPr fontId="12" type="noConversion"/>
  <pageMargins left="0.69930555555555596" right="0.69930555555555596" top="0.75" bottom="0.75" header="0.3" footer="0.3"/>
  <pageSetup paperSize="8" scale="57" orientation="landscape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63"/>
  <sheetViews>
    <sheetView workbookViewId="0">
      <pane xSplit="4" topLeftCell="U1" activePane="topRight" state="frozen"/>
      <selection pane="topRight" activeCell="V43" sqref="V43"/>
    </sheetView>
  </sheetViews>
  <sheetFormatPr defaultColWidth="9" defaultRowHeight="13.5"/>
  <cols>
    <col min="1" max="1" width="8.75" style="4" customWidth="1"/>
    <col min="2" max="2" width="13.625" style="4" customWidth="1"/>
    <col min="3" max="3" width="10.625" style="4" customWidth="1"/>
    <col min="4" max="4" width="10.5" style="4" customWidth="1"/>
    <col min="5" max="6" width="9" style="4"/>
    <col min="7" max="12" width="9" style="4" customWidth="1"/>
    <col min="13" max="13" width="10.875" style="4" customWidth="1"/>
    <col min="14" max="16" width="9" style="4" customWidth="1"/>
    <col min="17" max="17" width="11" style="4" customWidth="1"/>
    <col min="18" max="31" width="9" style="4" customWidth="1"/>
    <col min="32" max="32" width="9" style="4"/>
    <col min="33" max="33" width="9" style="4" customWidth="1"/>
    <col min="34" max="34" width="8.375" style="4" customWidth="1"/>
    <col min="35" max="35" width="9" style="4" customWidth="1"/>
    <col min="36" max="16384" width="9" style="4"/>
  </cols>
  <sheetData>
    <row r="1" spans="1:35" s="1" customFormat="1" ht="42.75" customHeight="1">
      <c r="A1" s="53">
        <v>44317</v>
      </c>
      <c r="B1" s="54"/>
      <c r="C1" s="55" t="s">
        <v>0</v>
      </c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55"/>
      <c r="X1" s="55"/>
      <c r="Y1" s="55"/>
      <c r="Z1" s="55"/>
      <c r="AA1" s="55"/>
      <c r="AB1" s="55"/>
      <c r="AC1" s="55"/>
      <c r="AD1" s="55"/>
      <c r="AE1" s="55"/>
      <c r="AF1" s="55"/>
      <c r="AG1" s="55"/>
      <c r="AH1" s="55"/>
      <c r="AI1" s="55"/>
    </row>
    <row r="2" spans="1:35" s="2" customFormat="1" ht="24.95" customHeight="1">
      <c r="A2" s="5"/>
      <c r="B2" s="5" t="s">
        <v>1</v>
      </c>
      <c r="C2" s="5" t="s">
        <v>2</v>
      </c>
      <c r="D2" s="5" t="s">
        <v>3</v>
      </c>
      <c r="E2" s="5" t="s">
        <v>4</v>
      </c>
      <c r="F2" s="5" t="s">
        <v>5</v>
      </c>
      <c r="G2" s="5" t="s">
        <v>6</v>
      </c>
      <c r="H2" s="5" t="s">
        <v>7</v>
      </c>
      <c r="I2" s="5" t="s">
        <v>8</v>
      </c>
      <c r="J2" s="5" t="s">
        <v>9</v>
      </c>
      <c r="K2" s="5" t="s">
        <v>10</v>
      </c>
      <c r="L2" s="5" t="s">
        <v>11</v>
      </c>
      <c r="M2" s="5" t="s">
        <v>12</v>
      </c>
      <c r="N2" s="5" t="s">
        <v>13</v>
      </c>
      <c r="O2" s="5" t="s">
        <v>14</v>
      </c>
      <c r="P2" s="5" t="s">
        <v>15</v>
      </c>
      <c r="Q2" s="5" t="s">
        <v>16</v>
      </c>
      <c r="R2" s="5" t="s">
        <v>17</v>
      </c>
      <c r="S2" s="5" t="s">
        <v>18</v>
      </c>
      <c r="T2" s="5" t="s">
        <v>19</v>
      </c>
      <c r="U2" s="5" t="s">
        <v>20</v>
      </c>
      <c r="V2" s="5" t="s">
        <v>21</v>
      </c>
      <c r="W2" s="5" t="s">
        <v>22</v>
      </c>
      <c r="X2" s="5" t="s">
        <v>23</v>
      </c>
      <c r="Y2" s="5" t="s">
        <v>24</v>
      </c>
      <c r="Z2" s="5" t="s">
        <v>25</v>
      </c>
      <c r="AA2" s="5" t="s">
        <v>26</v>
      </c>
      <c r="AB2" s="5" t="s">
        <v>27</v>
      </c>
      <c r="AC2" s="5" t="s">
        <v>28</v>
      </c>
      <c r="AD2" s="5" t="s">
        <v>29</v>
      </c>
      <c r="AE2" s="5" t="s">
        <v>30</v>
      </c>
      <c r="AF2" s="5" t="s">
        <v>31</v>
      </c>
      <c r="AG2" s="5" t="s">
        <v>32</v>
      </c>
      <c r="AH2" s="5" t="s">
        <v>33</v>
      </c>
      <c r="AI2" s="5" t="s">
        <v>34</v>
      </c>
    </row>
    <row r="3" spans="1:35" s="3" customFormat="1" ht="25.5" customHeight="1">
      <c r="A3" s="56" t="s">
        <v>35</v>
      </c>
      <c r="B3" s="7" t="s">
        <v>36</v>
      </c>
      <c r="C3" s="7">
        <f>D3+'4月'!C3</f>
        <v>52191.7</v>
      </c>
      <c r="D3" s="7">
        <f t="shared" ref="D3:D9" si="0">SUM(E3:AI3)</f>
        <v>11637.7</v>
      </c>
      <c r="E3" s="7">
        <v>366</v>
      </c>
      <c r="F3" s="7">
        <v>383</v>
      </c>
      <c r="G3" s="7">
        <v>380.7</v>
      </c>
      <c r="H3" s="7">
        <v>351.6</v>
      </c>
      <c r="I3" s="7">
        <v>372</v>
      </c>
      <c r="J3" s="7">
        <v>378.3</v>
      </c>
      <c r="K3" s="7">
        <v>379.8</v>
      </c>
      <c r="L3" s="7">
        <v>376.5</v>
      </c>
      <c r="M3" s="7">
        <v>362.8</v>
      </c>
      <c r="N3" s="7">
        <v>366</v>
      </c>
      <c r="O3" s="7">
        <v>359.7</v>
      </c>
      <c r="P3" s="7">
        <v>381.1</v>
      </c>
      <c r="Q3" s="7">
        <v>376.3</v>
      </c>
      <c r="R3" s="7">
        <v>378.4</v>
      </c>
      <c r="S3" s="7">
        <v>359.4</v>
      </c>
      <c r="T3" s="7">
        <v>372.7</v>
      </c>
      <c r="U3" s="7">
        <v>391.1</v>
      </c>
      <c r="V3" s="7">
        <v>376.5</v>
      </c>
      <c r="W3" s="7">
        <v>389.5</v>
      </c>
      <c r="X3" s="7">
        <v>377.3</v>
      </c>
      <c r="Y3" s="7">
        <v>380</v>
      </c>
      <c r="Z3" s="7">
        <v>383.4</v>
      </c>
      <c r="AA3" s="7">
        <v>366.4</v>
      </c>
      <c r="AB3" s="7">
        <v>363.1</v>
      </c>
      <c r="AC3" s="7">
        <v>385.2</v>
      </c>
      <c r="AD3" s="7">
        <v>362.7</v>
      </c>
      <c r="AE3" s="7">
        <v>384.5</v>
      </c>
      <c r="AF3" s="7">
        <v>393</v>
      </c>
      <c r="AG3" s="7">
        <v>372.4</v>
      </c>
      <c r="AH3" s="7">
        <v>384.9</v>
      </c>
      <c r="AI3" s="30">
        <v>383.4</v>
      </c>
    </row>
    <row r="4" spans="1:35" s="3" customFormat="1" ht="26.25" customHeight="1">
      <c r="A4" s="56"/>
      <c r="B4" s="7" t="s">
        <v>37</v>
      </c>
      <c r="C4" s="7">
        <f>D4+'4月'!C4</f>
        <v>58576</v>
      </c>
      <c r="D4" s="7">
        <f t="shared" si="0"/>
        <v>12988.5</v>
      </c>
      <c r="E4" s="7">
        <v>421.1</v>
      </c>
      <c r="F4" s="7">
        <v>419.5</v>
      </c>
      <c r="G4" s="7">
        <v>426.7</v>
      </c>
      <c r="H4" s="7">
        <v>430.7</v>
      </c>
      <c r="I4" s="7">
        <v>433.1</v>
      </c>
      <c r="J4" s="7">
        <v>430.9</v>
      </c>
      <c r="K4" s="7">
        <v>430</v>
      </c>
      <c r="L4" s="7">
        <v>435.1</v>
      </c>
      <c r="M4" s="7">
        <v>424</v>
      </c>
      <c r="N4" s="7">
        <v>398.1</v>
      </c>
      <c r="O4" s="7">
        <v>420.5</v>
      </c>
      <c r="P4" s="7">
        <v>427.7</v>
      </c>
      <c r="Q4" s="7">
        <v>431.4</v>
      </c>
      <c r="R4" s="7">
        <v>429.6</v>
      </c>
      <c r="S4" s="7">
        <v>405.3</v>
      </c>
      <c r="T4" s="7">
        <v>413.5</v>
      </c>
      <c r="U4" s="7">
        <v>413.6</v>
      </c>
      <c r="V4" s="7">
        <v>419.8</v>
      </c>
      <c r="W4" s="7">
        <v>396.3</v>
      </c>
      <c r="X4" s="7">
        <v>404.9</v>
      </c>
      <c r="Y4" s="7">
        <v>417.1</v>
      </c>
      <c r="Z4" s="7">
        <v>409.6</v>
      </c>
      <c r="AA4" s="7">
        <v>417.8</v>
      </c>
      <c r="AB4" s="7">
        <v>405.6</v>
      </c>
      <c r="AC4" s="7">
        <v>399.5</v>
      </c>
      <c r="AD4" s="7">
        <v>411.6</v>
      </c>
      <c r="AE4" s="7">
        <v>410.3</v>
      </c>
      <c r="AF4" s="7">
        <v>444.4</v>
      </c>
      <c r="AG4" s="7">
        <v>422.8</v>
      </c>
      <c r="AH4" s="30">
        <v>415.7</v>
      </c>
      <c r="AI4" s="7">
        <v>422.3</v>
      </c>
    </row>
    <row r="5" spans="1:35" s="3" customFormat="1" ht="24.95" customHeight="1">
      <c r="A5" s="56"/>
      <c r="B5" s="7" t="s">
        <v>38</v>
      </c>
      <c r="C5" s="7">
        <f>D5+'4月'!C5</f>
        <v>110767.70000000001</v>
      </c>
      <c r="D5" s="7">
        <f t="shared" si="0"/>
        <v>24626.200000000004</v>
      </c>
      <c r="E5" s="7">
        <f>SUM(E3:E4)</f>
        <v>787.1</v>
      </c>
      <c r="F5" s="7">
        <f t="shared" ref="F5:AI5" si="1">SUM(F3:F4)</f>
        <v>802.5</v>
      </c>
      <c r="G5" s="7">
        <f t="shared" si="1"/>
        <v>807.4</v>
      </c>
      <c r="H5" s="7">
        <f t="shared" si="1"/>
        <v>782.3</v>
      </c>
      <c r="I5" s="7">
        <f t="shared" si="1"/>
        <v>805.1</v>
      </c>
      <c r="J5" s="7">
        <f t="shared" si="1"/>
        <v>809.2</v>
      </c>
      <c r="K5" s="7">
        <f t="shared" si="1"/>
        <v>809.8</v>
      </c>
      <c r="L5" s="7">
        <f t="shared" si="1"/>
        <v>811.6</v>
      </c>
      <c r="M5" s="7">
        <f t="shared" si="1"/>
        <v>786.8</v>
      </c>
      <c r="N5" s="7">
        <f t="shared" si="1"/>
        <v>764.1</v>
      </c>
      <c r="O5" s="7">
        <f t="shared" si="1"/>
        <v>780.2</v>
      </c>
      <c r="P5" s="7">
        <f t="shared" si="1"/>
        <v>808.8</v>
      </c>
      <c r="Q5" s="7">
        <f t="shared" si="1"/>
        <v>807.7</v>
      </c>
      <c r="R5" s="7">
        <f t="shared" si="1"/>
        <v>808</v>
      </c>
      <c r="S5" s="7">
        <f t="shared" si="1"/>
        <v>764.7</v>
      </c>
      <c r="T5" s="7">
        <f t="shared" si="1"/>
        <v>786.2</v>
      </c>
      <c r="U5" s="7">
        <f t="shared" si="1"/>
        <v>804.7</v>
      </c>
      <c r="V5" s="7">
        <f t="shared" si="1"/>
        <v>796.3</v>
      </c>
      <c r="W5" s="7">
        <f t="shared" si="1"/>
        <v>785.8</v>
      </c>
      <c r="X5" s="7">
        <f t="shared" si="1"/>
        <v>782.2</v>
      </c>
      <c r="Y5" s="7">
        <f t="shared" si="1"/>
        <v>797.1</v>
      </c>
      <c r="Z5" s="7">
        <f t="shared" si="1"/>
        <v>793</v>
      </c>
      <c r="AA5" s="7">
        <f t="shared" si="1"/>
        <v>784.2</v>
      </c>
      <c r="AB5" s="7">
        <f t="shared" si="1"/>
        <v>768.7</v>
      </c>
      <c r="AC5" s="7">
        <f t="shared" si="1"/>
        <v>784.7</v>
      </c>
      <c r="AD5" s="7">
        <f t="shared" si="1"/>
        <v>774.3</v>
      </c>
      <c r="AE5" s="7">
        <f t="shared" si="1"/>
        <v>794.8</v>
      </c>
      <c r="AF5" s="7">
        <f t="shared" si="1"/>
        <v>837.4</v>
      </c>
      <c r="AG5" s="7">
        <f t="shared" si="1"/>
        <v>795.2</v>
      </c>
      <c r="AH5" s="7">
        <f t="shared" si="1"/>
        <v>800.59999999999991</v>
      </c>
      <c r="AI5" s="7">
        <f t="shared" si="1"/>
        <v>805.7</v>
      </c>
    </row>
    <row r="6" spans="1:35" s="3" customFormat="1" ht="24.95" customHeight="1">
      <c r="A6" s="56" t="s">
        <v>39</v>
      </c>
      <c r="B6" s="7" t="s">
        <v>40</v>
      </c>
      <c r="C6" s="7">
        <f>D6+'4月'!C6</f>
        <v>24354960</v>
      </c>
      <c r="D6" s="7">
        <f t="shared" si="0"/>
        <v>5501280</v>
      </c>
      <c r="E6" s="7">
        <v>181200</v>
      </c>
      <c r="F6" s="7">
        <v>188880</v>
      </c>
      <c r="G6" s="7">
        <v>178320</v>
      </c>
      <c r="H6" s="7">
        <v>169920</v>
      </c>
      <c r="I6" s="7">
        <v>177840</v>
      </c>
      <c r="J6" s="7">
        <v>171120</v>
      </c>
      <c r="K6" s="7">
        <v>174480</v>
      </c>
      <c r="L6" s="7">
        <v>173760</v>
      </c>
      <c r="M6" s="7">
        <v>175440</v>
      </c>
      <c r="N6" s="7">
        <v>167040</v>
      </c>
      <c r="O6" s="7">
        <v>180240</v>
      </c>
      <c r="P6" s="26">
        <v>181440</v>
      </c>
      <c r="Q6" s="7">
        <v>179760</v>
      </c>
      <c r="R6" s="7">
        <v>175440</v>
      </c>
      <c r="S6" s="7">
        <v>178800</v>
      </c>
      <c r="T6" s="7">
        <v>170160</v>
      </c>
      <c r="U6" s="26">
        <v>175680</v>
      </c>
      <c r="V6" s="7">
        <v>172800</v>
      </c>
      <c r="W6" s="7">
        <v>185040</v>
      </c>
      <c r="X6" s="7">
        <v>178800</v>
      </c>
      <c r="Y6" s="7">
        <v>175200</v>
      </c>
      <c r="Z6" s="7">
        <v>173760</v>
      </c>
      <c r="AA6" s="7">
        <v>177600</v>
      </c>
      <c r="AB6" s="7">
        <v>178800</v>
      </c>
      <c r="AC6" s="7">
        <v>185760</v>
      </c>
      <c r="AD6" s="7">
        <v>184800</v>
      </c>
      <c r="AE6" s="7">
        <v>181200</v>
      </c>
      <c r="AF6" s="7">
        <v>177360</v>
      </c>
      <c r="AG6" s="7">
        <v>177600</v>
      </c>
      <c r="AH6" s="7">
        <v>175440</v>
      </c>
      <c r="AI6" s="7">
        <v>177600</v>
      </c>
    </row>
    <row r="7" spans="1:35" s="3" customFormat="1" ht="24.95" customHeight="1">
      <c r="A7" s="56"/>
      <c r="B7" s="7" t="s">
        <v>41</v>
      </c>
      <c r="C7" s="7">
        <f>D7+'4月'!C7</f>
        <v>22374270</v>
      </c>
      <c r="D7" s="7">
        <f t="shared" si="0"/>
        <v>4685760</v>
      </c>
      <c r="E7" s="7">
        <v>171360</v>
      </c>
      <c r="F7" s="7">
        <v>167520</v>
      </c>
      <c r="G7" s="7">
        <v>158400</v>
      </c>
      <c r="H7" s="7">
        <v>146400</v>
      </c>
      <c r="I7" s="7">
        <v>151680</v>
      </c>
      <c r="J7" s="7">
        <v>159840</v>
      </c>
      <c r="K7" s="7">
        <v>158160</v>
      </c>
      <c r="L7" s="7">
        <v>154320</v>
      </c>
      <c r="M7" s="7">
        <v>150960</v>
      </c>
      <c r="N7" s="7">
        <v>146880</v>
      </c>
      <c r="O7" s="7">
        <v>147120</v>
      </c>
      <c r="P7" s="26">
        <v>158160</v>
      </c>
      <c r="Q7" s="7">
        <v>150960</v>
      </c>
      <c r="R7" s="7">
        <v>147600</v>
      </c>
      <c r="S7" s="7">
        <v>143040</v>
      </c>
      <c r="T7" s="7">
        <v>139680</v>
      </c>
      <c r="U7" s="7">
        <v>145200</v>
      </c>
      <c r="V7" s="7">
        <v>153840</v>
      </c>
      <c r="W7" s="7">
        <v>150000</v>
      </c>
      <c r="X7" s="7">
        <v>144720</v>
      </c>
      <c r="Y7" s="7">
        <v>143520</v>
      </c>
      <c r="Z7" s="7">
        <v>141120</v>
      </c>
      <c r="AA7" s="7">
        <v>145200</v>
      </c>
      <c r="AB7" s="7">
        <v>152160</v>
      </c>
      <c r="AC7" s="7">
        <v>150960</v>
      </c>
      <c r="AD7" s="7">
        <v>151440</v>
      </c>
      <c r="AE7" s="7">
        <v>153120</v>
      </c>
      <c r="AF7" s="7">
        <v>154560</v>
      </c>
      <c r="AG7" s="7">
        <v>148800</v>
      </c>
      <c r="AH7" s="7">
        <v>156720</v>
      </c>
      <c r="AI7" s="26">
        <v>142320</v>
      </c>
    </row>
    <row r="8" spans="1:35" s="3" customFormat="1" ht="24.75" customHeight="1">
      <c r="A8" s="56"/>
      <c r="B8" s="7" t="s">
        <v>38</v>
      </c>
      <c r="C8" s="7">
        <f>D8+'4月'!C8</f>
        <v>46729230</v>
      </c>
      <c r="D8" s="7">
        <f t="shared" si="0"/>
        <v>10187040</v>
      </c>
      <c r="E8" s="7">
        <f t="shared" ref="E8:AI8" si="2">SUM(E6:E7)</f>
        <v>352560</v>
      </c>
      <c r="F8" s="7">
        <f t="shared" si="2"/>
        <v>356400</v>
      </c>
      <c r="G8" s="7">
        <f t="shared" si="2"/>
        <v>336720</v>
      </c>
      <c r="H8" s="7">
        <f t="shared" si="2"/>
        <v>316320</v>
      </c>
      <c r="I8" s="7">
        <f t="shared" si="2"/>
        <v>329520</v>
      </c>
      <c r="J8" s="7">
        <f t="shared" si="2"/>
        <v>330960</v>
      </c>
      <c r="K8" s="7">
        <f t="shared" si="2"/>
        <v>332640</v>
      </c>
      <c r="L8" s="7">
        <f t="shared" si="2"/>
        <v>328080</v>
      </c>
      <c r="M8" s="7">
        <f t="shared" si="2"/>
        <v>326400</v>
      </c>
      <c r="N8" s="7">
        <f t="shared" si="2"/>
        <v>313920</v>
      </c>
      <c r="O8" s="7">
        <f t="shared" si="2"/>
        <v>327360</v>
      </c>
      <c r="P8" s="7">
        <f t="shared" si="2"/>
        <v>339600</v>
      </c>
      <c r="Q8" s="7">
        <f t="shared" si="2"/>
        <v>330720</v>
      </c>
      <c r="R8" s="7">
        <f t="shared" si="2"/>
        <v>323040</v>
      </c>
      <c r="S8" s="7">
        <f t="shared" si="2"/>
        <v>321840</v>
      </c>
      <c r="T8" s="7">
        <f t="shared" si="2"/>
        <v>309840</v>
      </c>
      <c r="U8" s="7">
        <f t="shared" si="2"/>
        <v>320880</v>
      </c>
      <c r="V8" s="7">
        <f t="shared" si="2"/>
        <v>326640</v>
      </c>
      <c r="W8" s="7">
        <f t="shared" si="2"/>
        <v>335040</v>
      </c>
      <c r="X8" s="7">
        <f t="shared" si="2"/>
        <v>323520</v>
      </c>
      <c r="Y8" s="7">
        <f t="shared" si="2"/>
        <v>318720</v>
      </c>
      <c r="Z8" s="7">
        <f t="shared" si="2"/>
        <v>314880</v>
      </c>
      <c r="AA8" s="7">
        <f t="shared" si="2"/>
        <v>322800</v>
      </c>
      <c r="AB8" s="7">
        <f t="shared" si="2"/>
        <v>330960</v>
      </c>
      <c r="AC8" s="7">
        <f t="shared" si="2"/>
        <v>336720</v>
      </c>
      <c r="AD8" s="7">
        <f t="shared" si="2"/>
        <v>336240</v>
      </c>
      <c r="AE8" s="7">
        <f t="shared" si="2"/>
        <v>334320</v>
      </c>
      <c r="AF8" s="7">
        <f t="shared" si="2"/>
        <v>331920</v>
      </c>
      <c r="AG8" s="7">
        <f t="shared" si="2"/>
        <v>326400</v>
      </c>
      <c r="AH8" s="7">
        <f t="shared" si="2"/>
        <v>332160</v>
      </c>
      <c r="AI8" s="7">
        <f t="shared" si="2"/>
        <v>319920</v>
      </c>
    </row>
    <row r="9" spans="1:35" s="3" customFormat="1" ht="24.95" customHeight="1">
      <c r="A9" s="56" t="s">
        <v>42</v>
      </c>
      <c r="B9" s="7" t="s">
        <v>38</v>
      </c>
      <c r="C9" s="7">
        <f>D9+'4月'!C9</f>
        <v>39494390</v>
      </c>
      <c r="D9" s="7">
        <f t="shared" si="0"/>
        <v>8548640</v>
      </c>
      <c r="E9" s="7">
        <v>299620</v>
      </c>
      <c r="F9" s="7">
        <v>304800</v>
      </c>
      <c r="G9" s="7">
        <v>285260</v>
      </c>
      <c r="H9" s="7">
        <v>267200</v>
      </c>
      <c r="I9" s="7">
        <v>279520</v>
      </c>
      <c r="J9" s="7">
        <v>280080</v>
      </c>
      <c r="K9" s="7">
        <v>282480</v>
      </c>
      <c r="L9" s="7">
        <v>276400</v>
      </c>
      <c r="M9" s="7">
        <v>274060</v>
      </c>
      <c r="N9" s="7">
        <v>265920</v>
      </c>
      <c r="O9" s="7">
        <v>277920</v>
      </c>
      <c r="P9" s="7">
        <v>284920</v>
      </c>
      <c r="Q9" s="7">
        <v>275200</v>
      </c>
      <c r="R9" s="7">
        <v>271120</v>
      </c>
      <c r="S9" s="7">
        <v>268100</v>
      </c>
      <c r="T9" s="7">
        <v>258760</v>
      </c>
      <c r="U9" s="7">
        <v>265920</v>
      </c>
      <c r="V9" s="7">
        <v>272360</v>
      </c>
      <c r="W9" s="7">
        <v>280380</v>
      </c>
      <c r="X9" s="7">
        <v>271740</v>
      </c>
      <c r="Y9" s="7">
        <v>266900</v>
      </c>
      <c r="Z9" s="7">
        <v>262080</v>
      </c>
      <c r="AA9" s="7">
        <v>266280</v>
      </c>
      <c r="AB9" s="7">
        <v>275180</v>
      </c>
      <c r="AC9" s="7">
        <v>280860</v>
      </c>
      <c r="AD9" s="7">
        <v>280940</v>
      </c>
      <c r="AE9" s="7">
        <v>280440</v>
      </c>
      <c r="AF9" s="7">
        <v>277540</v>
      </c>
      <c r="AG9" s="7">
        <v>271520</v>
      </c>
      <c r="AH9" s="7">
        <v>276880</v>
      </c>
      <c r="AI9" s="7">
        <v>268260</v>
      </c>
    </row>
    <row r="10" spans="1:35" s="3" customFormat="1" ht="24.95" customHeight="1">
      <c r="A10" s="56"/>
      <c r="B10" s="6" t="s">
        <v>43</v>
      </c>
      <c r="C10" s="8">
        <f t="shared" ref="C10:AI10" si="3">SUM(C8/C5)</f>
        <v>421.8669341333258</v>
      </c>
      <c r="D10" s="8">
        <f t="shared" si="3"/>
        <v>413.66674517383916</v>
      </c>
      <c r="E10" s="8">
        <f t="shared" si="3"/>
        <v>447.92275441494093</v>
      </c>
      <c r="F10" s="8">
        <f t="shared" si="3"/>
        <v>444.1121495327103</v>
      </c>
      <c r="G10" s="8">
        <f t="shared" si="3"/>
        <v>417.04235818677239</v>
      </c>
      <c r="H10" s="8">
        <f t="shared" si="3"/>
        <v>404.34615876262308</v>
      </c>
      <c r="I10" s="8">
        <f t="shared" si="3"/>
        <v>409.29077133275371</v>
      </c>
      <c r="J10" s="8">
        <f t="shared" si="3"/>
        <v>408.99653979238752</v>
      </c>
      <c r="K10" s="8">
        <f t="shared" si="3"/>
        <v>410.76809088663867</v>
      </c>
      <c r="L10" s="8">
        <f t="shared" si="3"/>
        <v>404.23854115327748</v>
      </c>
      <c r="M10" s="8">
        <f t="shared" si="3"/>
        <v>414.84494153533302</v>
      </c>
      <c r="N10" s="8">
        <f t="shared" si="3"/>
        <v>410.83627797408712</v>
      </c>
      <c r="O10" s="8">
        <f t="shared" si="3"/>
        <v>419.58472186618815</v>
      </c>
      <c r="P10" s="8">
        <f t="shared" si="3"/>
        <v>419.88130563798222</v>
      </c>
      <c r="Q10" s="8">
        <f t="shared" si="3"/>
        <v>409.45895753373776</v>
      </c>
      <c r="R10" s="8">
        <f t="shared" si="3"/>
        <v>399.80198019801981</v>
      </c>
      <c r="S10" s="8">
        <f t="shared" si="3"/>
        <v>420.87092977638287</v>
      </c>
      <c r="T10" s="8">
        <f t="shared" si="3"/>
        <v>394.09819384380563</v>
      </c>
      <c r="U10" s="8">
        <f t="shared" si="3"/>
        <v>398.75730085746238</v>
      </c>
      <c r="V10" s="8">
        <f t="shared" si="3"/>
        <v>410.19716187366572</v>
      </c>
      <c r="W10" s="8">
        <f t="shared" si="3"/>
        <v>426.36803257826421</v>
      </c>
      <c r="X10" s="8">
        <f t="shared" si="3"/>
        <v>413.60265916645358</v>
      </c>
      <c r="Y10" s="8">
        <f t="shared" si="3"/>
        <v>399.84945427173506</v>
      </c>
      <c r="Z10" s="8">
        <f t="shared" si="3"/>
        <v>397.07440100882724</v>
      </c>
      <c r="AA10" s="8">
        <f t="shared" si="3"/>
        <v>411.62968630451411</v>
      </c>
      <c r="AB10" s="8">
        <f t="shared" si="3"/>
        <v>430.54507610251073</v>
      </c>
      <c r="AC10" s="8">
        <f t="shared" si="3"/>
        <v>429.10666496750349</v>
      </c>
      <c r="AD10" s="8">
        <f t="shared" si="3"/>
        <v>434.25029058504458</v>
      </c>
      <c r="AE10" s="8">
        <f t="shared" si="3"/>
        <v>420.63412179164573</v>
      </c>
      <c r="AF10" s="8">
        <f t="shared" si="3"/>
        <v>396.36971578695966</v>
      </c>
      <c r="AG10" s="8">
        <f t="shared" si="3"/>
        <v>410.46277665995973</v>
      </c>
      <c r="AH10" s="8">
        <f t="shared" si="3"/>
        <v>414.88883337496884</v>
      </c>
      <c r="AI10" s="8">
        <f t="shared" si="3"/>
        <v>397.07087005088738</v>
      </c>
    </row>
    <row r="11" spans="1:35" s="3" customFormat="1" ht="24.95" customHeight="1">
      <c r="A11" s="56"/>
      <c r="B11" s="9" t="s">
        <v>44</v>
      </c>
      <c r="C11" s="8">
        <f>(C8-C16)/C5</f>
        <v>356.6508106605084</v>
      </c>
      <c r="D11" s="8">
        <f>(D8-D16)/D5</f>
        <v>347.13597713004845</v>
      </c>
      <c r="E11" s="8">
        <f t="shared" ref="E11:AI11" si="4">SUM(E9/E5)</f>
        <v>380.66319400330326</v>
      </c>
      <c r="F11" s="8">
        <f t="shared" si="4"/>
        <v>379.81308411214951</v>
      </c>
      <c r="G11" s="8">
        <f t="shared" si="4"/>
        <v>353.30691107257866</v>
      </c>
      <c r="H11" s="8">
        <f t="shared" si="4"/>
        <v>341.55694746261025</v>
      </c>
      <c r="I11" s="8">
        <f t="shared" si="4"/>
        <v>347.18668488386533</v>
      </c>
      <c r="J11" s="8">
        <f t="shared" si="4"/>
        <v>346.11962432031635</v>
      </c>
      <c r="K11" s="8">
        <f t="shared" si="4"/>
        <v>348.82687083230428</v>
      </c>
      <c r="L11" s="8">
        <f t="shared" si="4"/>
        <v>340.56185312962049</v>
      </c>
      <c r="M11" s="8">
        <f t="shared" si="4"/>
        <v>348.32231825114388</v>
      </c>
      <c r="N11" s="8">
        <f t="shared" si="4"/>
        <v>348.01727522575578</v>
      </c>
      <c r="O11" s="8">
        <f t="shared" si="4"/>
        <v>356.21635478082538</v>
      </c>
      <c r="P11" s="8">
        <f t="shared" si="4"/>
        <v>352.27497527200791</v>
      </c>
      <c r="Q11" s="8">
        <f t="shared" si="4"/>
        <v>340.72056456605173</v>
      </c>
      <c r="R11" s="8">
        <f t="shared" si="4"/>
        <v>335.54455445544556</v>
      </c>
      <c r="S11" s="8">
        <f t="shared" si="4"/>
        <v>350.59500457695827</v>
      </c>
      <c r="T11" s="8">
        <f t="shared" si="4"/>
        <v>329.12744848639022</v>
      </c>
      <c r="U11" s="8">
        <f t="shared" si="4"/>
        <v>330.45855598359634</v>
      </c>
      <c r="V11" s="8">
        <f t="shared" si="4"/>
        <v>342.03189752605806</v>
      </c>
      <c r="W11" s="8">
        <f t="shared" si="4"/>
        <v>356.80834818019855</v>
      </c>
      <c r="X11" s="8">
        <f t="shared" si="4"/>
        <v>347.40475581692658</v>
      </c>
      <c r="Y11" s="8">
        <f t="shared" si="4"/>
        <v>334.83879061598293</v>
      </c>
      <c r="Z11" s="8">
        <f t="shared" si="4"/>
        <v>330.49180327868851</v>
      </c>
      <c r="AA11" s="8">
        <f t="shared" si="4"/>
        <v>339.55623565416983</v>
      </c>
      <c r="AB11" s="8">
        <f t="shared" si="4"/>
        <v>357.98100689475734</v>
      </c>
      <c r="AC11" s="8">
        <f t="shared" si="4"/>
        <v>357.92022428953737</v>
      </c>
      <c r="AD11" s="8">
        <f t="shared" si="4"/>
        <v>362.83094407852258</v>
      </c>
      <c r="AE11" s="8">
        <f t="shared" si="4"/>
        <v>352.84348263714145</v>
      </c>
      <c r="AF11" s="8">
        <f t="shared" si="4"/>
        <v>331.43061858132313</v>
      </c>
      <c r="AG11" s="8">
        <f t="shared" si="4"/>
        <v>341.44869215291749</v>
      </c>
      <c r="AH11" s="8">
        <f t="shared" si="4"/>
        <v>345.84061953534854</v>
      </c>
      <c r="AI11" s="8">
        <f t="shared" si="4"/>
        <v>332.95271192751642</v>
      </c>
    </row>
    <row r="12" spans="1:35" s="3" customFormat="1" ht="24.95" customHeight="1">
      <c r="A12" s="56"/>
      <c r="B12" s="6" t="s">
        <v>45</v>
      </c>
      <c r="C12" s="8">
        <f>D12+'4月'!C12</f>
        <v>115606.57999999997</v>
      </c>
      <c r="D12" s="8">
        <f t="shared" ref="D12:D16" si="5">SUM(E12:AI12)</f>
        <v>30242.37999999999</v>
      </c>
      <c r="E12" s="7">
        <v>988.66</v>
      </c>
      <c r="F12" s="7">
        <v>962.82</v>
      </c>
      <c r="G12" s="7">
        <v>948.92</v>
      </c>
      <c r="H12" s="7">
        <v>1061.6600000000001</v>
      </c>
      <c r="I12" s="7">
        <v>974.18</v>
      </c>
      <c r="J12" s="7">
        <v>1021</v>
      </c>
      <c r="K12" s="7">
        <v>954.66</v>
      </c>
      <c r="L12" s="7">
        <v>932.12</v>
      </c>
      <c r="M12" s="7">
        <v>830.58</v>
      </c>
      <c r="N12" s="7">
        <v>983.14</v>
      </c>
      <c r="O12" s="7">
        <v>1017.56</v>
      </c>
      <c r="P12" s="7">
        <v>951.44</v>
      </c>
      <c r="Q12" s="7">
        <v>924.92</v>
      </c>
      <c r="R12" s="7">
        <v>989.48</v>
      </c>
      <c r="S12" s="7">
        <v>960.86</v>
      </c>
      <c r="T12" s="7">
        <v>1027.92</v>
      </c>
      <c r="U12" s="7">
        <v>1040.3800000000001</v>
      </c>
      <c r="V12" s="7">
        <v>950.66</v>
      </c>
      <c r="W12" s="7">
        <v>864.52</v>
      </c>
      <c r="X12" s="7">
        <v>978.48</v>
      </c>
      <c r="Y12" s="7">
        <v>933.16</v>
      </c>
      <c r="Z12" s="7">
        <v>950.64</v>
      </c>
      <c r="AA12" s="7">
        <v>908.66</v>
      </c>
      <c r="AB12" s="7">
        <v>1049.0999999999999</v>
      </c>
      <c r="AC12" s="7">
        <v>1025.26</v>
      </c>
      <c r="AD12" s="12">
        <v>999.64</v>
      </c>
      <c r="AE12" s="7">
        <v>950.92</v>
      </c>
      <c r="AF12" s="7">
        <v>1053.26</v>
      </c>
      <c r="AG12" s="7">
        <v>984.32</v>
      </c>
      <c r="AH12" s="12">
        <v>952.3</v>
      </c>
      <c r="AI12" s="7">
        <v>1071.1600000000001</v>
      </c>
    </row>
    <row r="13" spans="1:35" s="3" customFormat="1" ht="24.75" customHeight="1">
      <c r="A13" s="58" t="s">
        <v>46</v>
      </c>
      <c r="B13" s="6" t="s">
        <v>36</v>
      </c>
      <c r="C13" s="8">
        <f>D13+'4月'!C13</f>
        <v>132484</v>
      </c>
      <c r="D13" s="10">
        <f t="shared" si="5"/>
        <v>29663</v>
      </c>
      <c r="E13" s="7">
        <v>988</v>
      </c>
      <c r="F13" s="7">
        <v>1013</v>
      </c>
      <c r="G13" s="7">
        <v>937</v>
      </c>
      <c r="H13" s="7">
        <v>883</v>
      </c>
      <c r="I13" s="7">
        <v>916</v>
      </c>
      <c r="J13" s="7">
        <v>939</v>
      </c>
      <c r="K13" s="7">
        <v>923</v>
      </c>
      <c r="L13" s="7">
        <v>926</v>
      </c>
      <c r="M13" s="20">
        <v>952</v>
      </c>
      <c r="N13" s="7">
        <v>901</v>
      </c>
      <c r="O13" s="7">
        <v>942</v>
      </c>
      <c r="P13" s="20">
        <v>980</v>
      </c>
      <c r="Q13" s="7">
        <v>976</v>
      </c>
      <c r="R13" s="7">
        <v>912</v>
      </c>
      <c r="S13" s="7">
        <v>929</v>
      </c>
      <c r="T13" s="7">
        <v>943</v>
      </c>
      <c r="U13" s="7">
        <v>937</v>
      </c>
      <c r="V13" s="7">
        <v>943</v>
      </c>
      <c r="W13" s="7">
        <f>328+330+320</f>
        <v>978</v>
      </c>
      <c r="X13" s="7">
        <v>982</v>
      </c>
      <c r="Y13" s="7">
        <v>967</v>
      </c>
      <c r="Z13" s="7">
        <v>953</v>
      </c>
      <c r="AA13" s="7">
        <v>944</v>
      </c>
      <c r="AB13" s="7">
        <v>996</v>
      </c>
      <c r="AC13" s="7">
        <v>1015</v>
      </c>
      <c r="AD13" s="7">
        <v>1003</v>
      </c>
      <c r="AE13" s="7">
        <v>1002</v>
      </c>
      <c r="AF13" s="7">
        <f>339+313+336</f>
        <v>988</v>
      </c>
      <c r="AG13" s="7">
        <f>301+347+315</f>
        <v>963</v>
      </c>
      <c r="AH13" s="7">
        <f>330+324+333</f>
        <v>987</v>
      </c>
      <c r="AI13" s="7">
        <f>319+303+323</f>
        <v>945</v>
      </c>
    </row>
    <row r="14" spans="1:35" s="3" customFormat="1" ht="25.5" customHeight="1">
      <c r="A14" s="59"/>
      <c r="B14" s="6" t="s">
        <v>37</v>
      </c>
      <c r="C14" s="8">
        <f>D14+'4月'!C14</f>
        <v>149801</v>
      </c>
      <c r="D14" s="10">
        <f t="shared" si="5"/>
        <v>34373</v>
      </c>
      <c r="E14" s="7">
        <v>1164</v>
      </c>
      <c r="F14" s="7">
        <v>1170</v>
      </c>
      <c r="G14" s="7">
        <v>1151</v>
      </c>
      <c r="H14" s="7">
        <v>1097</v>
      </c>
      <c r="I14" s="7">
        <v>1137</v>
      </c>
      <c r="J14" s="7">
        <v>1112</v>
      </c>
      <c r="K14" s="7">
        <v>1148</v>
      </c>
      <c r="L14" s="7">
        <v>1095</v>
      </c>
      <c r="M14" s="20">
        <v>1111</v>
      </c>
      <c r="N14" s="7">
        <v>1083</v>
      </c>
      <c r="O14" s="7">
        <v>1117</v>
      </c>
      <c r="P14" s="20">
        <v>1123</v>
      </c>
      <c r="Q14" s="7">
        <v>1085</v>
      </c>
      <c r="R14" s="7">
        <v>1114</v>
      </c>
      <c r="S14" s="7">
        <v>1109</v>
      </c>
      <c r="T14" s="7">
        <v>1037</v>
      </c>
      <c r="U14" s="7">
        <v>1085</v>
      </c>
      <c r="V14" s="7">
        <v>1126</v>
      </c>
      <c r="W14" s="7">
        <f>365+389+349</f>
        <v>1103</v>
      </c>
      <c r="X14" s="7">
        <v>1089</v>
      </c>
      <c r="Y14" s="7">
        <v>1083</v>
      </c>
      <c r="Z14" s="7">
        <v>1085</v>
      </c>
      <c r="AA14" s="7">
        <v>1110</v>
      </c>
      <c r="AB14" s="7">
        <v>1093</v>
      </c>
      <c r="AC14" s="7">
        <v>1114</v>
      </c>
      <c r="AD14" s="7">
        <v>1128</v>
      </c>
      <c r="AE14" s="7">
        <v>1113</v>
      </c>
      <c r="AF14" s="7">
        <f>368+397+357</f>
        <v>1122</v>
      </c>
      <c r="AG14" s="7">
        <f>370+358+367</f>
        <v>1095</v>
      </c>
      <c r="AH14" s="7">
        <f>362+323+400</f>
        <v>1085</v>
      </c>
      <c r="AI14" s="7">
        <f>347+352+390</f>
        <v>1089</v>
      </c>
    </row>
    <row r="15" spans="1:35" s="3" customFormat="1" ht="24" customHeight="1">
      <c r="A15" s="60"/>
      <c r="B15" s="7" t="s">
        <v>38</v>
      </c>
      <c r="C15" s="8">
        <f>D15+'4月'!C15</f>
        <v>282285</v>
      </c>
      <c r="D15" s="7">
        <f t="shared" si="5"/>
        <v>64036</v>
      </c>
      <c r="E15" s="7">
        <f>SUM(E13:E14)</f>
        <v>2152</v>
      </c>
      <c r="F15" s="7">
        <f>SUM(F13:F14)</f>
        <v>2183</v>
      </c>
      <c r="G15" s="7">
        <f t="shared" ref="G15:AI15" si="6">SUM(G13:G14)</f>
        <v>2088</v>
      </c>
      <c r="H15" s="7">
        <f t="shared" si="6"/>
        <v>1980</v>
      </c>
      <c r="I15" s="7">
        <f t="shared" si="6"/>
        <v>2053</v>
      </c>
      <c r="J15" s="7">
        <f t="shared" si="6"/>
        <v>2051</v>
      </c>
      <c r="K15" s="7">
        <f t="shared" si="6"/>
        <v>2071</v>
      </c>
      <c r="L15" s="7">
        <f t="shared" si="6"/>
        <v>2021</v>
      </c>
      <c r="M15" s="7">
        <f t="shared" si="6"/>
        <v>2063</v>
      </c>
      <c r="N15" s="7">
        <f t="shared" si="6"/>
        <v>1984</v>
      </c>
      <c r="O15" s="7">
        <f t="shared" si="6"/>
        <v>2059</v>
      </c>
      <c r="P15" s="7">
        <f t="shared" si="6"/>
        <v>2103</v>
      </c>
      <c r="Q15" s="7">
        <f t="shared" si="6"/>
        <v>2061</v>
      </c>
      <c r="R15" s="7">
        <f t="shared" si="6"/>
        <v>2026</v>
      </c>
      <c r="S15" s="7">
        <f t="shared" si="6"/>
        <v>2038</v>
      </c>
      <c r="T15" s="7">
        <f t="shared" si="6"/>
        <v>1980</v>
      </c>
      <c r="U15" s="7">
        <f t="shared" si="6"/>
        <v>2022</v>
      </c>
      <c r="V15" s="7">
        <f t="shared" si="6"/>
        <v>2069</v>
      </c>
      <c r="W15" s="7">
        <f t="shared" si="6"/>
        <v>2081</v>
      </c>
      <c r="X15" s="7">
        <f t="shared" si="6"/>
        <v>2071</v>
      </c>
      <c r="Y15" s="7">
        <f t="shared" si="6"/>
        <v>2050</v>
      </c>
      <c r="Z15" s="7">
        <f t="shared" si="6"/>
        <v>2038</v>
      </c>
      <c r="AA15" s="7">
        <f t="shared" si="6"/>
        <v>2054</v>
      </c>
      <c r="AB15" s="7">
        <f t="shared" si="6"/>
        <v>2089</v>
      </c>
      <c r="AC15" s="7">
        <f t="shared" si="6"/>
        <v>2129</v>
      </c>
      <c r="AD15" s="7">
        <f t="shared" si="6"/>
        <v>2131</v>
      </c>
      <c r="AE15" s="7">
        <f t="shared" si="6"/>
        <v>2115</v>
      </c>
      <c r="AF15" s="7">
        <f t="shared" si="6"/>
        <v>2110</v>
      </c>
      <c r="AG15" s="7">
        <f t="shared" si="6"/>
        <v>2058</v>
      </c>
      <c r="AH15" s="7">
        <f t="shared" si="6"/>
        <v>2072</v>
      </c>
      <c r="AI15" s="7">
        <f t="shared" si="6"/>
        <v>2034</v>
      </c>
    </row>
    <row r="16" spans="1:35" s="3" customFormat="1" ht="24.75" customHeight="1">
      <c r="A16" s="56" t="s">
        <v>47</v>
      </c>
      <c r="B16" s="7" t="s">
        <v>38</v>
      </c>
      <c r="C16" s="8">
        <f>D16+'4月'!C16</f>
        <v>7223840</v>
      </c>
      <c r="D16" s="7">
        <f t="shared" si="5"/>
        <v>1638400</v>
      </c>
      <c r="E16" s="7">
        <v>52940</v>
      </c>
      <c r="F16" s="7">
        <v>51600</v>
      </c>
      <c r="G16" s="7">
        <v>51460</v>
      </c>
      <c r="H16" s="7">
        <v>49120</v>
      </c>
      <c r="I16" s="7">
        <v>50000</v>
      </c>
      <c r="J16" s="7">
        <v>50880</v>
      </c>
      <c r="K16" s="7">
        <v>50160</v>
      </c>
      <c r="L16" s="7">
        <v>51680</v>
      </c>
      <c r="M16" s="7">
        <v>52340</v>
      </c>
      <c r="N16" s="7">
        <v>48000</v>
      </c>
      <c r="O16" s="7">
        <v>49440</v>
      </c>
      <c r="P16" s="7">
        <v>54680</v>
      </c>
      <c r="Q16" s="7">
        <v>55520</v>
      </c>
      <c r="R16" s="7">
        <v>51920</v>
      </c>
      <c r="S16" s="7">
        <v>53740</v>
      </c>
      <c r="T16" s="7">
        <v>51080</v>
      </c>
      <c r="U16" s="7">
        <v>54960</v>
      </c>
      <c r="V16" s="7">
        <v>54280</v>
      </c>
      <c r="W16" s="7">
        <v>54660</v>
      </c>
      <c r="X16" s="7">
        <v>51780</v>
      </c>
      <c r="Y16" s="7">
        <v>51820</v>
      </c>
      <c r="Z16" s="7">
        <v>52800</v>
      </c>
      <c r="AA16" s="7">
        <v>56520</v>
      </c>
      <c r="AB16" s="7">
        <v>55780</v>
      </c>
      <c r="AC16" s="7">
        <v>55860</v>
      </c>
      <c r="AD16" s="7">
        <v>55300</v>
      </c>
      <c r="AE16" s="7">
        <v>53880</v>
      </c>
      <c r="AF16" s="7">
        <v>54380</v>
      </c>
      <c r="AG16" s="7">
        <v>54880</v>
      </c>
      <c r="AH16" s="7">
        <v>55280</v>
      </c>
      <c r="AI16" s="7">
        <v>51660</v>
      </c>
    </row>
    <row r="17" spans="1:35" s="3" customFormat="1" ht="24.95" customHeight="1">
      <c r="A17" s="56"/>
      <c r="B17" s="6" t="s">
        <v>48</v>
      </c>
      <c r="C17" s="11">
        <f>SUM(C16/C8)</f>
        <v>0.15458932235776193</v>
      </c>
      <c r="D17" s="11">
        <f>SUM(D16/D8)</f>
        <v>0.16083180197584382</v>
      </c>
      <c r="E17" s="11">
        <f>SUM(E16/E8)</f>
        <v>0.15015883821193557</v>
      </c>
      <c r="F17" s="11">
        <f>SUM(F16/F8)</f>
        <v>0.14478114478114479</v>
      </c>
      <c r="G17" s="11">
        <f>SUM(G16/G8)</f>
        <v>0.15282727488714659</v>
      </c>
      <c r="H17" s="11">
        <f>SUM(H16/H8)</f>
        <v>0.15528578654527062</v>
      </c>
      <c r="I17" s="11">
        <f>SUM(I16/I8)</f>
        <v>0.15173585821801408</v>
      </c>
      <c r="J17" s="11">
        <f>SUM(J16/J8)</f>
        <v>0.15373459028281364</v>
      </c>
      <c r="K17" s="11">
        <f>SUM(K16/K8)</f>
        <v>0.15079365079365079</v>
      </c>
      <c r="L17" s="11">
        <f>SUM(L16/L8)</f>
        <v>0.15752255547427457</v>
      </c>
      <c r="M17" s="11">
        <f>SUM(M16/M8)</f>
        <v>0.16035539215686276</v>
      </c>
      <c r="N17" s="11">
        <f>SUM(N16/N8)</f>
        <v>0.1529051987767584</v>
      </c>
      <c r="O17" s="11">
        <f>SUM(O16/O8)</f>
        <v>0.15102639296187684</v>
      </c>
      <c r="P17" s="11">
        <f>SUM(P16/P8)</f>
        <v>0.16101295641931684</v>
      </c>
      <c r="Q17" s="11">
        <f>SUM(Q16/Q8)</f>
        <v>0.16787614900822448</v>
      </c>
      <c r="R17" s="11">
        <f>SUM(R16/R8)</f>
        <v>0.1607231302625062</v>
      </c>
      <c r="S17" s="11">
        <f>SUM(S16/S8)</f>
        <v>0.16697738006462839</v>
      </c>
      <c r="T17" s="11">
        <f>SUM(T16/T8)</f>
        <v>0.16485928221017299</v>
      </c>
      <c r="U17" s="11">
        <f>SUM(U16/U8)</f>
        <v>0.17127898279730741</v>
      </c>
      <c r="V17" s="11">
        <f>SUM(V16/V8)</f>
        <v>0.16617683076169484</v>
      </c>
      <c r="W17" s="11">
        <f>SUM(W16/W8)</f>
        <v>0.16314469914040114</v>
      </c>
      <c r="X17" s="11">
        <f>SUM(X16/X8)</f>
        <v>0.16005192878338279</v>
      </c>
      <c r="Y17" s="11">
        <f>SUM(Y16/Y8)</f>
        <v>0.16258785140562249</v>
      </c>
      <c r="Z17" s="11">
        <f>SUM(Z16/Z8)</f>
        <v>0.1676829268292683</v>
      </c>
      <c r="AA17" s="11">
        <f>SUM(AA16/AA8)</f>
        <v>0.17509293680297397</v>
      </c>
      <c r="AB17" s="11">
        <f>SUM(AB16/AB8)</f>
        <v>0.16854000483442108</v>
      </c>
      <c r="AC17" s="11">
        <f>SUM(AC16/AC8)</f>
        <v>0.16589451176051317</v>
      </c>
      <c r="AD17" s="11">
        <f>SUM(AD16/AD8)</f>
        <v>0.16446585772067571</v>
      </c>
      <c r="AE17" s="11">
        <f>SUM(AE16/AE8)</f>
        <v>0.1611629576453697</v>
      </c>
      <c r="AF17" s="11">
        <f>SUM(AF16/AF8)</f>
        <v>0.16383465895396482</v>
      </c>
      <c r="AG17" s="11">
        <f>SUM(AG16/AG8)</f>
        <v>0.1681372549019608</v>
      </c>
      <c r="AH17" s="11">
        <f>SUM(AH16/AH8)</f>
        <v>0.16642581888246627</v>
      </c>
      <c r="AI17" s="11">
        <f>SUM(AI16/AI8)</f>
        <v>0.16147786946736684</v>
      </c>
    </row>
    <row r="18" spans="1:35" s="3" customFormat="1" ht="24.95" customHeight="1">
      <c r="A18" s="13"/>
      <c r="B18" s="13" t="s">
        <v>49</v>
      </c>
      <c r="C18" s="7">
        <f>D18+'4月'!C18</f>
        <v>31</v>
      </c>
      <c r="D18" s="7">
        <f>COUNT(E18:AI18)</f>
        <v>31</v>
      </c>
      <c r="E18" s="14">
        <v>1100</v>
      </c>
      <c r="F18" s="14">
        <v>1100</v>
      </c>
      <c r="G18" s="14">
        <v>1200</v>
      </c>
      <c r="H18" s="14">
        <v>1400</v>
      </c>
      <c r="I18" s="14">
        <v>1500</v>
      </c>
      <c r="J18" s="7">
        <v>1500</v>
      </c>
      <c r="K18" s="14">
        <v>1600</v>
      </c>
      <c r="L18" s="14">
        <v>1700</v>
      </c>
      <c r="M18" s="7">
        <v>1400</v>
      </c>
      <c r="N18" s="7">
        <v>1600</v>
      </c>
      <c r="O18" s="7">
        <v>1800</v>
      </c>
      <c r="P18" s="7">
        <v>1600</v>
      </c>
      <c r="Q18" s="7">
        <v>1700</v>
      </c>
      <c r="R18" s="7">
        <v>1800</v>
      </c>
      <c r="S18" s="7">
        <v>1900</v>
      </c>
      <c r="T18" s="7">
        <v>1800</v>
      </c>
      <c r="U18" s="7">
        <v>2000</v>
      </c>
      <c r="V18" s="7">
        <v>1800</v>
      </c>
      <c r="W18" s="7">
        <v>1800</v>
      </c>
      <c r="X18" s="7">
        <v>1900</v>
      </c>
      <c r="Y18" s="7">
        <v>1900</v>
      </c>
      <c r="Z18" s="7">
        <v>2000</v>
      </c>
      <c r="AA18" s="7">
        <v>1800</v>
      </c>
      <c r="AB18" s="7">
        <v>2000</v>
      </c>
      <c r="AC18" s="7">
        <v>2000</v>
      </c>
      <c r="AD18" s="7">
        <v>2000</v>
      </c>
      <c r="AE18" s="7">
        <v>1800</v>
      </c>
      <c r="AF18" s="7">
        <v>2000</v>
      </c>
      <c r="AG18" s="7">
        <v>1900</v>
      </c>
      <c r="AH18" s="7">
        <v>1900</v>
      </c>
      <c r="AI18" s="7">
        <v>2100</v>
      </c>
    </row>
    <row r="19" spans="1:35" s="3" customFormat="1" ht="24.95" customHeight="1">
      <c r="A19" s="61" t="s">
        <v>50</v>
      </c>
      <c r="B19" s="13" t="s">
        <v>51</v>
      </c>
      <c r="C19" s="7">
        <f>D19+'4月'!C19</f>
        <v>7352.22</v>
      </c>
      <c r="D19" s="7">
        <f t="shared" ref="D19:D28" si="7">SUM(E19:AI19)</f>
        <v>0</v>
      </c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28"/>
      <c r="T19" s="28"/>
      <c r="U19" s="28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</row>
    <row r="20" spans="1:35" s="3" customFormat="1" ht="24.95" customHeight="1">
      <c r="A20" s="62"/>
      <c r="B20" s="13" t="s">
        <v>52</v>
      </c>
      <c r="C20" s="7">
        <f>D20+'4月'!C20</f>
        <v>44677</v>
      </c>
      <c r="D20" s="7">
        <f t="shared" si="7"/>
        <v>10364.459999999999</v>
      </c>
      <c r="E20" s="15">
        <v>334.46</v>
      </c>
      <c r="F20" s="15">
        <v>349.58</v>
      </c>
      <c r="G20" s="15">
        <v>343.22</v>
      </c>
      <c r="H20" s="15">
        <v>338</v>
      </c>
      <c r="I20" s="15">
        <v>352.34</v>
      </c>
      <c r="J20" s="15">
        <v>339.56</v>
      </c>
      <c r="K20" s="15">
        <v>367.54</v>
      </c>
      <c r="L20" s="15">
        <v>337.06</v>
      </c>
      <c r="M20" s="15">
        <v>280.54000000000002</v>
      </c>
      <c r="N20" s="15">
        <v>303.10000000000002</v>
      </c>
      <c r="O20" s="15">
        <v>357.94</v>
      </c>
      <c r="P20" s="15">
        <v>315.06</v>
      </c>
      <c r="Q20" s="15">
        <v>306.44</v>
      </c>
      <c r="R20" s="15">
        <v>372.6</v>
      </c>
      <c r="S20" s="28">
        <v>287.14</v>
      </c>
      <c r="T20" s="28">
        <v>372.64</v>
      </c>
      <c r="U20" s="28">
        <v>339.86</v>
      </c>
      <c r="V20" s="15">
        <v>331.78</v>
      </c>
      <c r="W20" s="15">
        <v>315.94</v>
      </c>
      <c r="X20" s="15">
        <v>322.82</v>
      </c>
      <c r="Y20" s="15">
        <v>327.08</v>
      </c>
      <c r="Z20" s="15">
        <v>302.68</v>
      </c>
      <c r="AA20" s="15">
        <v>318</v>
      </c>
      <c r="AB20" s="15">
        <v>326.18</v>
      </c>
      <c r="AC20" s="15">
        <v>348.22</v>
      </c>
      <c r="AD20" s="15">
        <v>341.16</v>
      </c>
      <c r="AE20" s="15">
        <v>340.24</v>
      </c>
      <c r="AF20" s="15">
        <v>362.7</v>
      </c>
      <c r="AG20" s="15">
        <v>314.89999999999998</v>
      </c>
      <c r="AH20" s="15">
        <v>360</v>
      </c>
      <c r="AI20" s="15">
        <v>355.68</v>
      </c>
    </row>
    <row r="21" spans="1:35" s="3" customFormat="1" ht="24.95" customHeight="1">
      <c r="A21" s="62"/>
      <c r="B21" s="13" t="s">
        <v>53</v>
      </c>
      <c r="C21" s="7">
        <f>D21+'4月'!C21</f>
        <v>0</v>
      </c>
      <c r="D21" s="7">
        <f t="shared" si="7"/>
        <v>0</v>
      </c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28"/>
      <c r="T21" s="28"/>
      <c r="U21" s="28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</row>
    <row r="22" spans="1:35" s="3" customFormat="1" ht="24.95" customHeight="1">
      <c r="A22" s="62"/>
      <c r="B22" s="13" t="s">
        <v>54</v>
      </c>
      <c r="C22" s="7">
        <f>D22+'4月'!C22</f>
        <v>0</v>
      </c>
      <c r="D22" s="7">
        <f t="shared" si="7"/>
        <v>0</v>
      </c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28"/>
      <c r="T22" s="28"/>
      <c r="U22" s="28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</row>
    <row r="23" spans="1:35" s="3" customFormat="1" ht="22.15" customHeight="1">
      <c r="A23" s="62"/>
      <c r="B23" s="13" t="s">
        <v>55</v>
      </c>
      <c r="C23" s="7">
        <f>D23+'4月'!C23</f>
        <v>0</v>
      </c>
      <c r="D23" s="7">
        <f t="shared" si="7"/>
        <v>0</v>
      </c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28"/>
      <c r="T23" s="28"/>
      <c r="U23" s="28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</row>
    <row r="24" spans="1:35" s="3" customFormat="1" ht="22.15" customHeight="1">
      <c r="A24" s="62"/>
      <c r="B24" s="13" t="s">
        <v>56</v>
      </c>
      <c r="C24" s="7">
        <f>D24+'4月'!C24</f>
        <v>7857.1399999999985</v>
      </c>
      <c r="D24" s="7">
        <f t="shared" si="7"/>
        <v>6284.5999999999985</v>
      </c>
      <c r="E24" s="15">
        <v>198.58</v>
      </c>
      <c r="F24" s="15">
        <v>181.82</v>
      </c>
      <c r="G24" s="15">
        <v>184.02</v>
      </c>
      <c r="H24" s="15">
        <v>226.78</v>
      </c>
      <c r="I24" s="15">
        <v>191.06</v>
      </c>
      <c r="J24" s="15">
        <v>225.12</v>
      </c>
      <c r="K24" s="15">
        <v>207.72</v>
      </c>
      <c r="L24" s="15">
        <v>213.02</v>
      </c>
      <c r="M24" s="15">
        <v>174.7</v>
      </c>
      <c r="N24" s="15">
        <v>219.22</v>
      </c>
      <c r="O24" s="15">
        <v>199.74</v>
      </c>
      <c r="P24" s="15">
        <v>216.88</v>
      </c>
      <c r="Q24" s="15">
        <v>175.36</v>
      </c>
      <c r="R24" s="15">
        <v>203.14</v>
      </c>
      <c r="S24" s="28">
        <v>207.64</v>
      </c>
      <c r="T24" s="28">
        <v>185.88</v>
      </c>
      <c r="U24" s="28">
        <v>227.14</v>
      </c>
      <c r="V24" s="15">
        <v>215.08</v>
      </c>
      <c r="W24" s="15">
        <v>194.5</v>
      </c>
      <c r="X24" s="15">
        <v>214.36</v>
      </c>
      <c r="Y24" s="15">
        <v>190.28</v>
      </c>
      <c r="Z24" s="15">
        <v>198.48</v>
      </c>
      <c r="AA24" s="15">
        <v>190.98</v>
      </c>
      <c r="AB24" s="15">
        <v>214.48</v>
      </c>
      <c r="AC24" s="15">
        <v>213.2</v>
      </c>
      <c r="AD24" s="15">
        <v>192.42</v>
      </c>
      <c r="AE24" s="15">
        <v>208.3</v>
      </c>
      <c r="AF24" s="15">
        <v>193.36</v>
      </c>
      <c r="AG24" s="15">
        <v>201.82</v>
      </c>
      <c r="AH24" s="15">
        <v>191.02</v>
      </c>
      <c r="AI24" s="15">
        <v>228.5</v>
      </c>
    </row>
    <row r="25" spans="1:35" s="3" customFormat="1" ht="21.75" customHeight="1">
      <c r="A25" s="62"/>
      <c r="B25" s="13" t="s">
        <v>57</v>
      </c>
      <c r="C25" s="7">
        <f>D25+'4月'!C25</f>
        <v>47119</v>
      </c>
      <c r="D25" s="7">
        <f t="shared" si="7"/>
        <v>10946.499999999998</v>
      </c>
      <c r="E25" s="15">
        <v>368.84</v>
      </c>
      <c r="F25" s="15">
        <v>342.38</v>
      </c>
      <c r="G25" s="15">
        <v>354.7</v>
      </c>
      <c r="H25" s="15">
        <v>407.08</v>
      </c>
      <c r="I25" s="15">
        <v>350.32</v>
      </c>
      <c r="J25" s="15">
        <v>360.56</v>
      </c>
      <c r="K25" s="15">
        <v>295.86</v>
      </c>
      <c r="L25" s="15">
        <v>285.08</v>
      </c>
      <c r="M25" s="15">
        <v>313.36</v>
      </c>
      <c r="N25" s="15">
        <v>365.22</v>
      </c>
      <c r="O25" s="15">
        <v>376.88</v>
      </c>
      <c r="P25" s="15">
        <v>324.98</v>
      </c>
      <c r="Q25" s="15">
        <v>353.82</v>
      </c>
      <c r="R25" s="15">
        <v>337.4</v>
      </c>
      <c r="S25" s="28">
        <v>369.04</v>
      </c>
      <c r="T25" s="28">
        <v>386.54</v>
      </c>
      <c r="U25" s="28">
        <v>387.44</v>
      </c>
      <c r="V25" s="15">
        <v>329.02</v>
      </c>
      <c r="W25" s="15">
        <v>265.14</v>
      </c>
      <c r="X25" s="15">
        <v>342.44</v>
      </c>
      <c r="Y25" s="15">
        <v>340.24</v>
      </c>
      <c r="Z25" s="15">
        <v>359.62</v>
      </c>
      <c r="AA25" s="15">
        <v>318.32</v>
      </c>
      <c r="AB25" s="15">
        <v>417.44</v>
      </c>
      <c r="AC25" s="15">
        <v>378.64</v>
      </c>
      <c r="AD25" s="15">
        <v>382.16</v>
      </c>
      <c r="AE25" s="15">
        <v>315.16000000000003</v>
      </c>
      <c r="AF25" s="15">
        <v>410.18</v>
      </c>
      <c r="AG25" s="15">
        <v>380.94</v>
      </c>
      <c r="AH25" s="15">
        <v>326.26</v>
      </c>
      <c r="AI25" s="15">
        <v>401.44</v>
      </c>
    </row>
    <row r="26" spans="1:35" s="3" customFormat="1" ht="18" customHeight="1">
      <c r="A26" s="62"/>
      <c r="B26" s="13" t="s">
        <v>58</v>
      </c>
      <c r="C26" s="7">
        <f>D26+'4月'!C26</f>
        <v>8601.2199999999975</v>
      </c>
      <c r="D26" s="7">
        <f t="shared" si="7"/>
        <v>2646.8199999999988</v>
      </c>
      <c r="E26" s="15">
        <v>86.78</v>
      </c>
      <c r="F26" s="15">
        <v>89.04</v>
      </c>
      <c r="G26" s="15">
        <v>66.98</v>
      </c>
      <c r="H26" s="15">
        <v>89.8</v>
      </c>
      <c r="I26" s="15">
        <v>80.459999999999994</v>
      </c>
      <c r="J26" s="15">
        <v>95.76</v>
      </c>
      <c r="K26" s="15">
        <v>83.54</v>
      </c>
      <c r="L26" s="15">
        <v>96.96</v>
      </c>
      <c r="M26" s="15">
        <v>61.98</v>
      </c>
      <c r="N26" s="15">
        <v>95.6</v>
      </c>
      <c r="O26" s="15">
        <v>83</v>
      </c>
      <c r="P26" s="15">
        <v>94.52</v>
      </c>
      <c r="Q26" s="15">
        <v>89.3</v>
      </c>
      <c r="R26" s="15">
        <v>76.34</v>
      </c>
      <c r="S26" s="15">
        <v>97.04</v>
      </c>
      <c r="T26" s="28">
        <v>82.86</v>
      </c>
      <c r="U26" s="28">
        <v>85.94</v>
      </c>
      <c r="V26" s="15">
        <v>74.78</v>
      </c>
      <c r="W26" s="15">
        <v>88.94</v>
      </c>
      <c r="X26" s="15">
        <v>98.86</v>
      </c>
      <c r="Y26" s="15">
        <v>75.56</v>
      </c>
      <c r="Z26" s="15">
        <v>89.86</v>
      </c>
      <c r="AA26" s="15">
        <v>81.36</v>
      </c>
      <c r="AB26" s="15">
        <v>91</v>
      </c>
      <c r="AC26" s="15">
        <v>85.2</v>
      </c>
      <c r="AD26" s="15">
        <v>83.9</v>
      </c>
      <c r="AE26" s="15">
        <v>87.22</v>
      </c>
      <c r="AF26" s="15">
        <v>87.02</v>
      </c>
      <c r="AG26" s="15">
        <v>86.66</v>
      </c>
      <c r="AH26" s="15">
        <v>75.02</v>
      </c>
      <c r="AI26" s="15">
        <v>85.54</v>
      </c>
    </row>
    <row r="27" spans="1:35" s="3" customFormat="1" ht="18" customHeight="1">
      <c r="A27" s="62"/>
      <c r="B27" s="16" t="s">
        <v>59</v>
      </c>
      <c r="C27" s="7">
        <f>D27+'4月'!C27</f>
        <v>0</v>
      </c>
      <c r="D27" s="7">
        <f t="shared" si="7"/>
        <v>0</v>
      </c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28"/>
      <c r="U27" s="28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</row>
    <row r="28" spans="1:35" s="3" customFormat="1" ht="18" customHeight="1">
      <c r="A28" s="62"/>
      <c r="B28" s="16" t="s">
        <v>60</v>
      </c>
      <c r="C28" s="7">
        <f>D28+'4月'!C28</f>
        <v>0</v>
      </c>
      <c r="D28" s="7">
        <f t="shared" si="7"/>
        <v>0</v>
      </c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28"/>
      <c r="U28" s="28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</row>
    <row r="29" spans="1:35" s="3" customFormat="1" ht="18" hidden="1" customHeight="1">
      <c r="A29" s="63"/>
      <c r="B29" s="16"/>
      <c r="C29" s="7">
        <f>D29+'4月'!C29</f>
        <v>0</v>
      </c>
      <c r="D29" s="7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</row>
    <row r="30" spans="1:35" s="3" customFormat="1" ht="26.1" customHeight="1">
      <c r="A30" s="12"/>
      <c r="B30" s="12" t="s">
        <v>61</v>
      </c>
      <c r="C30" s="7">
        <f>D30+'4月'!C30</f>
        <v>115606.58000000002</v>
      </c>
      <c r="D30" s="7">
        <f>SUM(D19:D29)</f>
        <v>30242.379999999997</v>
      </c>
      <c r="E30" s="7">
        <f>SUM(E19:E29)</f>
        <v>988.65999999999985</v>
      </c>
      <c r="F30" s="7">
        <f t="shared" ref="F30:AI30" si="8">SUM(F19:F29)</f>
        <v>962.81999999999994</v>
      </c>
      <c r="G30" s="7">
        <f t="shared" si="8"/>
        <v>948.92000000000007</v>
      </c>
      <c r="H30" s="7">
        <f t="shared" si="8"/>
        <v>1061.6599999999999</v>
      </c>
      <c r="I30" s="7">
        <f t="shared" si="8"/>
        <v>974.18000000000006</v>
      </c>
      <c r="J30" s="7">
        <f t="shared" si="8"/>
        <v>1021</v>
      </c>
      <c r="K30" s="7">
        <f t="shared" si="8"/>
        <v>954.66</v>
      </c>
      <c r="L30" s="7">
        <f t="shared" si="8"/>
        <v>932.12000000000012</v>
      </c>
      <c r="M30" s="7">
        <f t="shared" si="8"/>
        <v>830.58</v>
      </c>
      <c r="N30" s="7">
        <f t="shared" si="8"/>
        <v>983.1400000000001</v>
      </c>
      <c r="O30" s="7">
        <f t="shared" si="8"/>
        <v>1017.5600000000001</v>
      </c>
      <c r="P30" s="7">
        <f t="shared" si="8"/>
        <v>951.44</v>
      </c>
      <c r="Q30" s="7">
        <f t="shared" si="8"/>
        <v>924.92</v>
      </c>
      <c r="R30" s="7">
        <f t="shared" si="8"/>
        <v>989.48</v>
      </c>
      <c r="S30" s="7">
        <f t="shared" si="8"/>
        <v>960.8599999999999</v>
      </c>
      <c r="T30" s="7">
        <f t="shared" si="8"/>
        <v>1027.9199999999998</v>
      </c>
      <c r="U30" s="7">
        <f t="shared" si="8"/>
        <v>1040.3800000000001</v>
      </c>
      <c r="V30" s="7">
        <f t="shared" si="8"/>
        <v>950.66</v>
      </c>
      <c r="W30" s="7">
        <f t="shared" si="8"/>
        <v>864.52</v>
      </c>
      <c r="X30" s="7">
        <f t="shared" si="8"/>
        <v>978.48000000000013</v>
      </c>
      <c r="Y30" s="7">
        <f t="shared" si="8"/>
        <v>933.16000000000008</v>
      </c>
      <c r="Z30" s="7">
        <f t="shared" si="8"/>
        <v>950.64</v>
      </c>
      <c r="AA30" s="7">
        <f t="shared" si="8"/>
        <v>908.66</v>
      </c>
      <c r="AB30" s="7">
        <f t="shared" si="8"/>
        <v>1049.0999999999999</v>
      </c>
      <c r="AC30" s="7">
        <f t="shared" si="8"/>
        <v>1025.26</v>
      </c>
      <c r="AD30" s="7">
        <f t="shared" si="8"/>
        <v>999.64</v>
      </c>
      <c r="AE30" s="7">
        <f t="shared" si="8"/>
        <v>950.92000000000007</v>
      </c>
      <c r="AF30" s="7">
        <f t="shared" si="8"/>
        <v>1053.26</v>
      </c>
      <c r="AG30" s="7">
        <f t="shared" si="8"/>
        <v>984.32</v>
      </c>
      <c r="AH30" s="7">
        <f t="shared" si="8"/>
        <v>952.3</v>
      </c>
      <c r="AI30" s="7">
        <f t="shared" si="8"/>
        <v>1071.1600000000001</v>
      </c>
    </row>
    <row r="31" spans="1:35" s="3" customFormat="1" ht="24.95" customHeight="1">
      <c r="A31" s="57" t="s">
        <v>62</v>
      </c>
      <c r="B31" s="7" t="s">
        <v>63</v>
      </c>
      <c r="C31" s="7">
        <f>D31+'4月'!C31</f>
        <v>21810.52</v>
      </c>
      <c r="D31" s="7">
        <f t="shared" ref="D31:D37" si="9">SUM(E31:AI31)</f>
        <v>4501.9199999999992</v>
      </c>
      <c r="E31" s="7">
        <v>143.84</v>
      </c>
      <c r="F31" s="7">
        <v>203.36</v>
      </c>
      <c r="G31" s="7">
        <v>179.24</v>
      </c>
      <c r="H31" s="29">
        <v>170.26</v>
      </c>
      <c r="I31" s="7">
        <v>103.56</v>
      </c>
      <c r="J31" s="7">
        <v>31.14</v>
      </c>
      <c r="K31" s="7">
        <v>119.8</v>
      </c>
      <c r="L31" s="7">
        <v>108.56</v>
      </c>
      <c r="M31" s="7">
        <v>171.8</v>
      </c>
      <c r="N31" s="7">
        <v>188.68</v>
      </c>
      <c r="O31" s="7">
        <v>67.14</v>
      </c>
      <c r="P31" s="7">
        <v>202.72</v>
      </c>
      <c r="Q31" s="7">
        <v>114.7</v>
      </c>
      <c r="R31" s="7">
        <v>156.46</v>
      </c>
      <c r="S31" s="7">
        <v>115.44</v>
      </c>
      <c r="T31" s="7">
        <v>111.78</v>
      </c>
      <c r="U31" s="29">
        <v>106.08</v>
      </c>
      <c r="V31" s="7">
        <v>149.38</v>
      </c>
      <c r="W31" s="7">
        <v>223.74</v>
      </c>
      <c r="X31" s="7">
        <v>134.1</v>
      </c>
      <c r="Y31" s="7">
        <v>136.26</v>
      </c>
      <c r="Z31" s="7">
        <v>91.98</v>
      </c>
      <c r="AA31" s="7">
        <v>147.47999999999999</v>
      </c>
      <c r="AB31" s="29">
        <v>123.62</v>
      </c>
      <c r="AC31" s="29">
        <v>210.64</v>
      </c>
      <c r="AD31" s="29">
        <v>235.44</v>
      </c>
      <c r="AE31" s="29">
        <v>180.74</v>
      </c>
      <c r="AF31" s="29">
        <v>185.54</v>
      </c>
      <c r="AG31" s="29">
        <v>100.04</v>
      </c>
      <c r="AH31" s="29">
        <v>144.12</v>
      </c>
      <c r="AI31" s="7">
        <v>144.28</v>
      </c>
    </row>
    <row r="32" spans="1:35" s="3" customFormat="1" ht="24.95" customHeight="1">
      <c r="A32" s="57"/>
      <c r="B32" s="7" t="s">
        <v>64</v>
      </c>
      <c r="C32" s="7">
        <f>D32+'4月'!C32</f>
        <v>2648.84</v>
      </c>
      <c r="D32" s="7">
        <f t="shared" si="9"/>
        <v>582.12000000000012</v>
      </c>
      <c r="E32" s="7">
        <v>21.6</v>
      </c>
      <c r="F32" s="7">
        <v>10.5</v>
      </c>
      <c r="G32" s="7">
        <v>10.02</v>
      </c>
      <c r="H32" s="20">
        <v>8.94</v>
      </c>
      <c r="I32" s="7">
        <v>35.619999999999997</v>
      </c>
      <c r="J32" s="7">
        <v>10.36</v>
      </c>
      <c r="K32" s="7">
        <v>10.18</v>
      </c>
      <c r="L32" s="7">
        <v>28.4</v>
      </c>
      <c r="M32" s="7">
        <v>34.96</v>
      </c>
      <c r="N32" s="7">
        <v>3.62</v>
      </c>
      <c r="O32" s="7">
        <v>0</v>
      </c>
      <c r="P32" s="7">
        <v>3.88</v>
      </c>
      <c r="Q32" s="7">
        <v>21.82</v>
      </c>
      <c r="R32" s="7">
        <v>11.44</v>
      </c>
      <c r="S32" s="7">
        <v>21.28</v>
      </c>
      <c r="T32" s="7">
        <v>30.92</v>
      </c>
      <c r="U32" s="7">
        <v>38.42</v>
      </c>
      <c r="V32" s="7">
        <v>36.4</v>
      </c>
      <c r="W32" s="7">
        <v>33.840000000000003</v>
      </c>
      <c r="X32" s="7">
        <v>32.44</v>
      </c>
      <c r="Y32" s="7">
        <v>12.22</v>
      </c>
      <c r="Z32" s="7">
        <v>0</v>
      </c>
      <c r="AA32" s="7">
        <v>0.92</v>
      </c>
      <c r="AB32" s="20">
        <v>18.440000000000001</v>
      </c>
      <c r="AC32" s="20">
        <v>42.86</v>
      </c>
      <c r="AD32" s="20">
        <v>16.62</v>
      </c>
      <c r="AE32" s="20">
        <v>24.14</v>
      </c>
      <c r="AF32" s="20">
        <v>0</v>
      </c>
      <c r="AG32" s="20">
        <v>0</v>
      </c>
      <c r="AH32" s="20">
        <v>0</v>
      </c>
      <c r="AI32" s="7">
        <v>62.28</v>
      </c>
    </row>
    <row r="33" spans="1:35" s="3" customFormat="1" ht="24.95" customHeight="1">
      <c r="A33" s="57"/>
      <c r="B33" s="6" t="s">
        <v>65</v>
      </c>
      <c r="C33" s="7">
        <f>D33+'4月'!C33</f>
        <v>7130</v>
      </c>
      <c r="D33" s="7">
        <f t="shared" si="9"/>
        <v>2402</v>
      </c>
      <c r="E33" s="7">
        <v>45</v>
      </c>
      <c r="F33" s="7">
        <v>180</v>
      </c>
      <c r="G33" s="7">
        <v>0</v>
      </c>
      <c r="H33" s="7">
        <v>0</v>
      </c>
      <c r="I33" s="7">
        <v>0</v>
      </c>
      <c r="J33" s="7">
        <v>210</v>
      </c>
      <c r="K33" s="7">
        <v>0</v>
      </c>
      <c r="L33" s="7">
        <v>0</v>
      </c>
      <c r="M33" s="7">
        <v>336</v>
      </c>
      <c r="N33" s="7">
        <v>0</v>
      </c>
      <c r="O33" s="7">
        <v>0</v>
      </c>
      <c r="P33" s="7">
        <v>289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301</v>
      </c>
      <c r="W33" s="7">
        <v>0</v>
      </c>
      <c r="X33" s="7">
        <v>0</v>
      </c>
      <c r="Y33" s="7">
        <v>108</v>
      </c>
      <c r="Z33" s="7">
        <v>0</v>
      </c>
      <c r="AA33" s="7">
        <v>303</v>
      </c>
      <c r="AB33" s="7">
        <v>0</v>
      </c>
      <c r="AC33" s="7">
        <v>0</v>
      </c>
      <c r="AD33" s="7">
        <v>0</v>
      </c>
      <c r="AE33" s="7">
        <v>279</v>
      </c>
      <c r="AF33" s="7">
        <v>0</v>
      </c>
      <c r="AG33" s="7">
        <v>237</v>
      </c>
      <c r="AH33" s="7">
        <v>114</v>
      </c>
      <c r="AI33" s="7">
        <v>0</v>
      </c>
    </row>
    <row r="34" spans="1:35" s="3" customFormat="1" ht="24.95" customHeight="1">
      <c r="A34" s="57"/>
      <c r="B34" s="7" t="s">
        <v>66</v>
      </c>
      <c r="C34" s="7">
        <f>D34+'4月'!C34</f>
        <v>31156</v>
      </c>
      <c r="D34" s="7">
        <f t="shared" si="9"/>
        <v>9691</v>
      </c>
      <c r="E34" s="7">
        <v>300</v>
      </c>
      <c r="F34" s="7">
        <v>340</v>
      </c>
      <c r="G34" s="7">
        <v>203</v>
      </c>
      <c r="H34" s="7">
        <v>338</v>
      </c>
      <c r="I34" s="7">
        <v>349</v>
      </c>
      <c r="J34" s="7">
        <v>194</v>
      </c>
      <c r="K34" s="7">
        <v>241</v>
      </c>
      <c r="L34" s="7">
        <v>250</v>
      </c>
      <c r="M34" s="7">
        <v>101</v>
      </c>
      <c r="N34" s="7">
        <v>295</v>
      </c>
      <c r="O34" s="7">
        <v>167</v>
      </c>
      <c r="P34" s="7">
        <v>286</v>
      </c>
      <c r="Q34" s="7">
        <v>351</v>
      </c>
      <c r="R34" s="7">
        <v>325</v>
      </c>
      <c r="S34" s="7">
        <v>353</v>
      </c>
      <c r="T34" s="7">
        <v>351</v>
      </c>
      <c r="U34" s="7">
        <v>301</v>
      </c>
      <c r="V34" s="7">
        <v>324</v>
      </c>
      <c r="W34" s="7">
        <v>354</v>
      </c>
      <c r="X34" s="7">
        <v>355</v>
      </c>
      <c r="Y34" s="7">
        <v>356</v>
      </c>
      <c r="Z34" s="7">
        <v>352</v>
      </c>
      <c r="AA34" s="7">
        <v>350</v>
      </c>
      <c r="AB34" s="7">
        <v>351</v>
      </c>
      <c r="AC34" s="7">
        <v>352</v>
      </c>
      <c r="AD34" s="7">
        <v>358</v>
      </c>
      <c r="AE34" s="7">
        <v>355</v>
      </c>
      <c r="AF34" s="7">
        <v>358</v>
      </c>
      <c r="AG34" s="7">
        <v>360</v>
      </c>
      <c r="AH34" s="7">
        <v>363</v>
      </c>
      <c r="AI34" s="7">
        <v>358</v>
      </c>
    </row>
    <row r="35" spans="1:35" s="3" customFormat="1" ht="24.95" customHeight="1">
      <c r="A35" s="58" t="s">
        <v>67</v>
      </c>
      <c r="B35" s="7" t="s">
        <v>68</v>
      </c>
      <c r="C35" s="7">
        <f>D35+'4月'!C35</f>
        <v>257.05200000000002</v>
      </c>
      <c r="D35" s="7">
        <f t="shared" si="9"/>
        <v>58.952000000000005</v>
      </c>
      <c r="E35" s="36">
        <v>2.0339999999999998</v>
      </c>
      <c r="F35" s="36">
        <v>2.0289999999999999</v>
      </c>
      <c r="G35" s="36">
        <v>1.8819999999999999</v>
      </c>
      <c r="H35" s="37">
        <v>1.845</v>
      </c>
      <c r="I35" s="37">
        <v>1.859</v>
      </c>
      <c r="J35" s="37">
        <v>2.008</v>
      </c>
      <c r="K35" s="37">
        <v>1.891</v>
      </c>
      <c r="L35" s="37">
        <v>1.845</v>
      </c>
      <c r="M35" s="37">
        <v>1.9930000000000001</v>
      </c>
      <c r="N35" s="37">
        <v>1.948</v>
      </c>
      <c r="O35" s="37">
        <v>1.7969999999999999</v>
      </c>
      <c r="P35" s="37">
        <v>1.7090000000000001</v>
      </c>
      <c r="Q35" s="37">
        <v>1.7090000000000001</v>
      </c>
      <c r="R35" s="37">
        <v>1.7829999999999999</v>
      </c>
      <c r="S35" s="37">
        <v>1.875</v>
      </c>
      <c r="T35" s="38">
        <v>1.786</v>
      </c>
      <c r="U35" s="37">
        <v>1.875</v>
      </c>
      <c r="V35" s="37">
        <v>1.9610000000000001</v>
      </c>
      <c r="W35" s="37">
        <v>1.9139999999999999</v>
      </c>
      <c r="X35" s="37">
        <v>1.8720000000000001</v>
      </c>
      <c r="Y35" s="37">
        <v>1.8779999999999999</v>
      </c>
      <c r="Z35" s="37">
        <v>1.9530000000000001</v>
      </c>
      <c r="AA35" s="37">
        <v>1.931</v>
      </c>
      <c r="AB35" s="37">
        <v>1.8009999999999999</v>
      </c>
      <c r="AC35" s="37">
        <v>1.9470000000000001</v>
      </c>
      <c r="AD35" s="37">
        <v>1.988</v>
      </c>
      <c r="AE35" s="37">
        <v>1.9570000000000001</v>
      </c>
      <c r="AF35" s="39">
        <v>2.004</v>
      </c>
      <c r="AG35" s="37">
        <v>1.964</v>
      </c>
      <c r="AH35" s="37">
        <v>2.0139999999999998</v>
      </c>
      <c r="AI35" s="37">
        <v>1.9</v>
      </c>
    </row>
    <row r="36" spans="1:35" s="3" customFormat="1" ht="24.95" customHeight="1">
      <c r="A36" s="59"/>
      <c r="B36" s="7" t="s">
        <v>69</v>
      </c>
      <c r="C36" s="7">
        <f>D36+'4月'!C36</f>
        <v>1018.8510000000002</v>
      </c>
      <c r="D36" s="7">
        <f t="shared" si="9"/>
        <v>303.80000000000018</v>
      </c>
      <c r="E36" s="7">
        <v>9.8000000000000007</v>
      </c>
      <c r="F36" s="7">
        <v>9.8000000000000007</v>
      </c>
      <c r="G36" s="7">
        <v>9.8000000000000007</v>
      </c>
      <c r="H36" s="7">
        <v>9.8000000000000007</v>
      </c>
      <c r="I36" s="7">
        <v>9.8000000000000007</v>
      </c>
      <c r="J36" s="7">
        <v>9.8000000000000007</v>
      </c>
      <c r="K36" s="7">
        <v>9.8000000000000007</v>
      </c>
      <c r="L36" s="7">
        <v>9.8000000000000007</v>
      </c>
      <c r="M36" s="7">
        <v>9.8000000000000007</v>
      </c>
      <c r="N36" s="7">
        <v>9.8000000000000007</v>
      </c>
      <c r="O36" s="7">
        <v>9.8000000000000007</v>
      </c>
      <c r="P36" s="7">
        <v>9.8000000000000007</v>
      </c>
      <c r="Q36" s="7">
        <v>9.8000000000000007</v>
      </c>
      <c r="R36" s="7">
        <v>9.8000000000000007</v>
      </c>
      <c r="S36" s="7">
        <v>9.8000000000000007</v>
      </c>
      <c r="T36" s="7">
        <v>9.8000000000000007</v>
      </c>
      <c r="U36" s="7">
        <v>9.8000000000000007</v>
      </c>
      <c r="V36" s="7">
        <v>9.8000000000000007</v>
      </c>
      <c r="W36" s="7">
        <v>9.8000000000000007</v>
      </c>
      <c r="X36" s="7">
        <v>9.8000000000000007</v>
      </c>
      <c r="Y36" s="7">
        <v>9.8000000000000007</v>
      </c>
      <c r="Z36" s="7">
        <v>9.8000000000000007</v>
      </c>
      <c r="AA36" s="7">
        <v>9.8000000000000007</v>
      </c>
      <c r="AB36" s="7">
        <v>9.8000000000000007</v>
      </c>
      <c r="AC36" s="7">
        <v>9.8000000000000007</v>
      </c>
      <c r="AD36" s="7">
        <v>9.8000000000000007</v>
      </c>
      <c r="AE36" s="7">
        <v>9.8000000000000007</v>
      </c>
      <c r="AF36" s="7">
        <v>9.8000000000000007</v>
      </c>
      <c r="AG36" s="7">
        <v>9.8000000000000007</v>
      </c>
      <c r="AH36" s="7">
        <v>9.8000000000000007</v>
      </c>
      <c r="AI36" s="7">
        <v>9.8000000000000007</v>
      </c>
    </row>
    <row r="37" spans="1:35" s="3" customFormat="1" ht="24.95" customHeight="1">
      <c r="A37" s="60"/>
      <c r="B37" s="7" t="s">
        <v>70</v>
      </c>
      <c r="C37" s="7">
        <f>D37+'4月'!C37</f>
        <v>46.787000000000013</v>
      </c>
      <c r="D37" s="7">
        <f t="shared" si="9"/>
        <v>11.780000000000006</v>
      </c>
      <c r="E37" s="7">
        <v>0.38</v>
      </c>
      <c r="F37" s="7">
        <v>0.38</v>
      </c>
      <c r="G37" s="7">
        <v>0.38</v>
      </c>
      <c r="H37" s="7">
        <v>0.38</v>
      </c>
      <c r="I37" s="7">
        <v>0.38</v>
      </c>
      <c r="J37" s="7">
        <v>0.38</v>
      </c>
      <c r="K37" s="7">
        <v>0.38</v>
      </c>
      <c r="L37" s="7">
        <v>0.38</v>
      </c>
      <c r="M37" s="7">
        <v>0.38</v>
      </c>
      <c r="N37" s="7">
        <v>0.38</v>
      </c>
      <c r="O37" s="7">
        <v>0.38</v>
      </c>
      <c r="P37" s="7">
        <v>0.38</v>
      </c>
      <c r="Q37" s="7">
        <v>0.38</v>
      </c>
      <c r="R37" s="7">
        <v>0.38</v>
      </c>
      <c r="S37" s="7">
        <v>0.38</v>
      </c>
      <c r="T37" s="7">
        <v>0.38</v>
      </c>
      <c r="U37" s="7">
        <v>0.38</v>
      </c>
      <c r="V37" s="7">
        <v>0.38</v>
      </c>
      <c r="W37" s="7">
        <v>0.38</v>
      </c>
      <c r="X37" s="7">
        <v>0.38</v>
      </c>
      <c r="Y37" s="7">
        <v>0.38</v>
      </c>
      <c r="Z37" s="7">
        <v>0.38</v>
      </c>
      <c r="AA37" s="7">
        <v>0.38</v>
      </c>
      <c r="AB37" s="7">
        <v>0.38</v>
      </c>
      <c r="AC37" s="7">
        <v>0.38</v>
      </c>
      <c r="AD37" s="7">
        <v>0.38</v>
      </c>
      <c r="AE37" s="7">
        <v>0.38</v>
      </c>
      <c r="AF37" s="7">
        <v>0.38</v>
      </c>
      <c r="AG37" s="7">
        <v>0.38</v>
      </c>
      <c r="AH37" s="7">
        <v>0.38</v>
      </c>
      <c r="AI37" s="7">
        <v>0.38</v>
      </c>
    </row>
    <row r="38" spans="1:35" s="1" customFormat="1" ht="18" customHeight="1">
      <c r="B38" s="22" t="s">
        <v>71</v>
      </c>
      <c r="C38" s="23">
        <f>C31/C5</f>
        <v>0.19690324887128646</v>
      </c>
      <c r="D38" s="23">
        <f>D31/D5</f>
        <v>0.18281017777813865</v>
      </c>
      <c r="G38" s="24"/>
    </row>
    <row r="39" spans="1:35" s="1" customFormat="1" ht="18" customHeight="1">
      <c r="B39" s="22" t="s">
        <v>72</v>
      </c>
      <c r="C39" s="23">
        <f>C32/C5</f>
        <v>2.3913469359750177E-2</v>
      </c>
      <c r="D39" s="23">
        <f>D32/D5</f>
        <v>2.3638238948761887E-2</v>
      </c>
      <c r="G39" s="24"/>
    </row>
    <row r="40" spans="1:35" s="1" customFormat="1" ht="18" customHeight="1">
      <c r="B40" s="22" t="s">
        <v>73</v>
      </c>
      <c r="C40" s="23">
        <f>C33/C5</f>
        <v>6.4368945098616293E-2</v>
      </c>
      <c r="D40" s="23">
        <f>D33/D5</f>
        <v>9.7538394068106313E-2</v>
      </c>
      <c r="G40" s="24"/>
    </row>
    <row r="41" spans="1:35">
      <c r="G41" s="25"/>
    </row>
    <row r="42" spans="1:35">
      <c r="G42" s="25"/>
    </row>
    <row r="43" spans="1:35">
      <c r="G43" s="25"/>
    </row>
    <row r="44" spans="1:35">
      <c r="G44" s="25"/>
    </row>
    <row r="45" spans="1:35">
      <c r="G45" s="25"/>
    </row>
    <row r="46" spans="1:35">
      <c r="G46" s="25"/>
    </row>
    <row r="47" spans="1:35">
      <c r="G47" s="25"/>
    </row>
    <row r="48" spans="1:35">
      <c r="G48" s="25"/>
    </row>
    <row r="49" spans="7:7">
      <c r="G49" s="25"/>
    </row>
    <row r="50" spans="7:7">
      <c r="G50" s="25"/>
    </row>
    <row r="51" spans="7:7">
      <c r="G51" s="25"/>
    </row>
    <row r="52" spans="7:7">
      <c r="G52" s="25"/>
    </row>
    <row r="53" spans="7:7">
      <c r="G53" s="25"/>
    </row>
    <row r="54" spans="7:7">
      <c r="G54" s="25"/>
    </row>
    <row r="55" spans="7:7">
      <c r="G55" s="25"/>
    </row>
    <row r="56" spans="7:7">
      <c r="G56" s="25"/>
    </row>
    <row r="57" spans="7:7">
      <c r="G57" s="25"/>
    </row>
    <row r="58" spans="7:7">
      <c r="G58" s="25"/>
    </row>
    <row r="59" spans="7:7">
      <c r="G59" s="25"/>
    </row>
    <row r="60" spans="7:7">
      <c r="G60" s="25"/>
    </row>
    <row r="61" spans="7:7">
      <c r="G61" s="25"/>
    </row>
    <row r="62" spans="7:7">
      <c r="G62" s="25"/>
    </row>
    <row r="63" spans="7:7">
      <c r="G63" s="25"/>
    </row>
  </sheetData>
  <mergeCells count="10">
    <mergeCell ref="A35:A37"/>
    <mergeCell ref="A13:A15"/>
    <mergeCell ref="A16:A17"/>
    <mergeCell ref="A19:A29"/>
    <mergeCell ref="A31:A34"/>
    <mergeCell ref="A1:B1"/>
    <mergeCell ref="C1:AI1"/>
    <mergeCell ref="A3:A5"/>
    <mergeCell ref="A6:A8"/>
    <mergeCell ref="A9:A12"/>
  </mergeCells>
  <phoneticPr fontId="12" type="noConversion"/>
  <pageMargins left="0.69930555555555596" right="0.69930555555555596" top="0.75" bottom="0.75" header="0.3" footer="0.3"/>
  <pageSetup paperSize="8" scale="57" orientation="landscape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63"/>
  <sheetViews>
    <sheetView workbookViewId="0">
      <pane xSplit="4" topLeftCell="N1" activePane="topRight" state="frozen"/>
      <selection pane="topRight" activeCell="N43" sqref="N43"/>
    </sheetView>
  </sheetViews>
  <sheetFormatPr defaultColWidth="9" defaultRowHeight="13.5"/>
  <cols>
    <col min="1" max="1" width="8.75" style="4" customWidth="1"/>
    <col min="2" max="2" width="13.625" style="4" customWidth="1"/>
    <col min="3" max="3" width="10.625" style="4" customWidth="1"/>
    <col min="4" max="4" width="10.5" style="4" customWidth="1"/>
    <col min="5" max="6" width="9" style="4"/>
    <col min="7" max="12" width="9" style="4" customWidth="1"/>
    <col min="13" max="13" width="10.875" style="4" customWidth="1"/>
    <col min="14" max="16" width="9" style="4" customWidth="1"/>
    <col min="17" max="17" width="11" style="4" customWidth="1"/>
    <col min="18" max="31" width="9" style="4" customWidth="1"/>
    <col min="32" max="32" width="9" style="4"/>
    <col min="33" max="33" width="9" style="4" customWidth="1"/>
    <col min="34" max="34" width="8.375" style="4" customWidth="1"/>
    <col min="35" max="35" width="9" style="4" hidden="1" customWidth="1"/>
    <col min="36" max="16384" width="9" style="4"/>
  </cols>
  <sheetData>
    <row r="1" spans="1:35" s="1" customFormat="1" ht="42.75" customHeight="1">
      <c r="A1" s="53">
        <v>44348</v>
      </c>
      <c r="B1" s="54"/>
      <c r="C1" s="55" t="s">
        <v>0</v>
      </c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55"/>
      <c r="X1" s="55"/>
      <c r="Y1" s="55"/>
      <c r="Z1" s="55"/>
      <c r="AA1" s="55"/>
      <c r="AB1" s="55"/>
      <c r="AC1" s="55"/>
      <c r="AD1" s="55"/>
      <c r="AE1" s="55"/>
      <c r="AF1" s="55"/>
      <c r="AG1" s="55"/>
      <c r="AH1" s="55"/>
      <c r="AI1" s="55"/>
    </row>
    <row r="2" spans="1:35" s="2" customFormat="1" ht="24.95" customHeight="1">
      <c r="A2" s="5"/>
      <c r="B2" s="5" t="s">
        <v>1</v>
      </c>
      <c r="C2" s="5" t="s">
        <v>2</v>
      </c>
      <c r="D2" s="5" t="s">
        <v>3</v>
      </c>
      <c r="E2" s="5" t="s">
        <v>4</v>
      </c>
      <c r="F2" s="5" t="s">
        <v>5</v>
      </c>
      <c r="G2" s="5" t="s">
        <v>6</v>
      </c>
      <c r="H2" s="5" t="s">
        <v>7</v>
      </c>
      <c r="I2" s="5" t="s">
        <v>8</v>
      </c>
      <c r="J2" s="5" t="s">
        <v>9</v>
      </c>
      <c r="K2" s="5" t="s">
        <v>10</v>
      </c>
      <c r="L2" s="5" t="s">
        <v>11</v>
      </c>
      <c r="M2" s="5" t="s">
        <v>12</v>
      </c>
      <c r="N2" s="5" t="s">
        <v>13</v>
      </c>
      <c r="O2" s="5" t="s">
        <v>14</v>
      </c>
      <c r="P2" s="5" t="s">
        <v>15</v>
      </c>
      <c r="Q2" s="5" t="s">
        <v>16</v>
      </c>
      <c r="R2" s="5" t="s">
        <v>17</v>
      </c>
      <c r="S2" s="5" t="s">
        <v>18</v>
      </c>
      <c r="T2" s="5" t="s">
        <v>19</v>
      </c>
      <c r="U2" s="5" t="s">
        <v>20</v>
      </c>
      <c r="V2" s="5" t="s">
        <v>21</v>
      </c>
      <c r="W2" s="5" t="s">
        <v>22</v>
      </c>
      <c r="X2" s="5" t="s">
        <v>23</v>
      </c>
      <c r="Y2" s="5" t="s">
        <v>24</v>
      </c>
      <c r="Z2" s="5" t="s">
        <v>25</v>
      </c>
      <c r="AA2" s="5" t="s">
        <v>26</v>
      </c>
      <c r="AB2" s="5" t="s">
        <v>27</v>
      </c>
      <c r="AC2" s="5" t="s">
        <v>28</v>
      </c>
      <c r="AD2" s="5" t="s">
        <v>29</v>
      </c>
      <c r="AE2" s="5" t="s">
        <v>30</v>
      </c>
      <c r="AF2" s="5" t="s">
        <v>31</v>
      </c>
      <c r="AG2" s="5" t="s">
        <v>32</v>
      </c>
      <c r="AH2" s="5" t="s">
        <v>33</v>
      </c>
      <c r="AI2" s="5" t="s">
        <v>34</v>
      </c>
    </row>
    <row r="3" spans="1:35" s="3" customFormat="1" ht="25.5" customHeight="1">
      <c r="A3" s="56" t="s">
        <v>35</v>
      </c>
      <c r="B3" s="7" t="s">
        <v>36</v>
      </c>
      <c r="C3" s="7">
        <f>D3+'5月'!C3</f>
        <v>60282.299999999996</v>
      </c>
      <c r="D3" s="7">
        <f t="shared" ref="D3:D9" si="0">SUM(E3:AI3)</f>
        <v>8090.5999999999985</v>
      </c>
      <c r="E3" s="7">
        <v>380.5</v>
      </c>
      <c r="F3" s="7">
        <v>376.5</v>
      </c>
      <c r="G3" s="7">
        <v>379.2</v>
      </c>
      <c r="H3" s="7">
        <v>46</v>
      </c>
      <c r="I3" s="7">
        <v>0</v>
      </c>
      <c r="J3" s="7">
        <v>0</v>
      </c>
      <c r="K3" s="7">
        <v>0</v>
      </c>
      <c r="L3" s="7">
        <v>0</v>
      </c>
      <c r="M3" s="7">
        <v>0</v>
      </c>
      <c r="N3" s="7">
        <v>0</v>
      </c>
      <c r="O3" s="7">
        <v>0</v>
      </c>
      <c r="P3" s="7">
        <v>127.1</v>
      </c>
      <c r="Q3" s="7">
        <v>361.9</v>
      </c>
      <c r="R3" s="7">
        <v>375.6</v>
      </c>
      <c r="S3" s="7">
        <v>377.6</v>
      </c>
      <c r="T3" s="7">
        <v>384.4</v>
      </c>
      <c r="U3" s="7">
        <v>376.9</v>
      </c>
      <c r="V3" s="7">
        <v>371.9</v>
      </c>
      <c r="W3" s="7">
        <v>384.5</v>
      </c>
      <c r="X3" s="7">
        <v>371.3</v>
      </c>
      <c r="Y3" s="7">
        <v>374</v>
      </c>
      <c r="Z3" s="7">
        <v>391.8</v>
      </c>
      <c r="AA3" s="7">
        <v>387.2</v>
      </c>
      <c r="AB3" s="7">
        <v>371.8</v>
      </c>
      <c r="AC3" s="7">
        <v>375.5</v>
      </c>
      <c r="AD3" s="7">
        <v>396.2</v>
      </c>
      <c r="AE3" s="7">
        <v>360.4</v>
      </c>
      <c r="AF3" s="7">
        <v>377.9</v>
      </c>
      <c r="AG3" s="7">
        <v>371.4</v>
      </c>
      <c r="AH3" s="7">
        <v>371</v>
      </c>
      <c r="AI3" s="30"/>
    </row>
    <row r="4" spans="1:35" s="3" customFormat="1" ht="26.25" customHeight="1">
      <c r="A4" s="56"/>
      <c r="B4" s="7" t="s">
        <v>37</v>
      </c>
      <c r="C4" s="7">
        <f>D4+'5月'!C4</f>
        <v>71193.600000000006</v>
      </c>
      <c r="D4" s="7">
        <f t="shared" si="0"/>
        <v>12617.599999999999</v>
      </c>
      <c r="E4" s="7">
        <v>436.6</v>
      </c>
      <c r="F4" s="7">
        <v>425.3</v>
      </c>
      <c r="G4" s="7">
        <v>423.1</v>
      </c>
      <c r="H4" s="7">
        <v>402.3</v>
      </c>
      <c r="I4" s="7">
        <v>413.1</v>
      </c>
      <c r="J4" s="7">
        <v>435.1</v>
      </c>
      <c r="K4" s="7">
        <v>420.1</v>
      </c>
      <c r="L4" s="7">
        <v>437.3</v>
      </c>
      <c r="M4" s="7">
        <v>412.3</v>
      </c>
      <c r="N4" s="7">
        <v>414</v>
      </c>
      <c r="O4" s="7">
        <v>422.1</v>
      </c>
      <c r="P4" s="7">
        <v>449.4</v>
      </c>
      <c r="Q4" s="7">
        <v>411.5</v>
      </c>
      <c r="R4" s="7">
        <v>415.1</v>
      </c>
      <c r="S4" s="7">
        <v>422.6</v>
      </c>
      <c r="T4" s="7">
        <v>416.5</v>
      </c>
      <c r="U4" s="7">
        <v>417.8</v>
      </c>
      <c r="V4" s="7">
        <v>418.5</v>
      </c>
      <c r="W4" s="7">
        <v>419.1</v>
      </c>
      <c r="X4" s="7">
        <v>405.1</v>
      </c>
      <c r="Y4" s="7">
        <v>405.6</v>
      </c>
      <c r="Z4" s="7">
        <v>423.3</v>
      </c>
      <c r="AA4" s="7">
        <v>412.9</v>
      </c>
      <c r="AB4" s="7">
        <v>421.4</v>
      </c>
      <c r="AC4" s="7">
        <v>418.1</v>
      </c>
      <c r="AD4" s="7">
        <v>414.3</v>
      </c>
      <c r="AE4" s="7">
        <v>428.8</v>
      </c>
      <c r="AF4" s="7">
        <v>419.4</v>
      </c>
      <c r="AG4" s="7">
        <v>420.5</v>
      </c>
      <c r="AH4" s="30">
        <v>436.4</v>
      </c>
      <c r="AI4" s="7"/>
    </row>
    <row r="5" spans="1:35" s="3" customFormat="1" ht="24.95" customHeight="1">
      <c r="A5" s="56"/>
      <c r="B5" s="7" t="s">
        <v>38</v>
      </c>
      <c r="C5" s="7">
        <f>D5+'5月'!C5</f>
        <v>131475.90000000002</v>
      </c>
      <c r="D5" s="7">
        <f t="shared" si="0"/>
        <v>20708.200000000004</v>
      </c>
      <c r="E5" s="7">
        <f>E3+E4</f>
        <v>817.1</v>
      </c>
      <c r="F5" s="7">
        <f t="shared" ref="F5:AI5" si="1">F3+F4</f>
        <v>801.8</v>
      </c>
      <c r="G5" s="7">
        <f t="shared" si="1"/>
        <v>802.3</v>
      </c>
      <c r="H5" s="7">
        <f t="shared" si="1"/>
        <v>448.3</v>
      </c>
      <c r="I5" s="7">
        <f t="shared" si="1"/>
        <v>413.1</v>
      </c>
      <c r="J5" s="7">
        <f t="shared" si="1"/>
        <v>435.1</v>
      </c>
      <c r="K5" s="7">
        <f t="shared" si="1"/>
        <v>420.1</v>
      </c>
      <c r="L5" s="7">
        <f t="shared" si="1"/>
        <v>437.3</v>
      </c>
      <c r="M5" s="7">
        <f t="shared" si="1"/>
        <v>412.3</v>
      </c>
      <c r="N5" s="7">
        <f t="shared" si="1"/>
        <v>414</v>
      </c>
      <c r="O5" s="7">
        <f t="shared" si="1"/>
        <v>422.1</v>
      </c>
      <c r="P5" s="7">
        <f t="shared" si="1"/>
        <v>576.5</v>
      </c>
      <c r="Q5" s="7">
        <f t="shared" si="1"/>
        <v>773.4</v>
      </c>
      <c r="R5" s="7">
        <f t="shared" si="1"/>
        <v>790.7</v>
      </c>
      <c r="S5" s="7">
        <f t="shared" si="1"/>
        <v>800.2</v>
      </c>
      <c r="T5" s="7">
        <f t="shared" si="1"/>
        <v>800.9</v>
      </c>
      <c r="U5" s="7">
        <f t="shared" si="1"/>
        <v>794.7</v>
      </c>
      <c r="V5" s="7">
        <f t="shared" si="1"/>
        <v>790.4</v>
      </c>
      <c r="W5" s="7">
        <f t="shared" si="1"/>
        <v>803.6</v>
      </c>
      <c r="X5" s="7">
        <f t="shared" si="1"/>
        <v>776.40000000000009</v>
      </c>
      <c r="Y5" s="7">
        <f t="shared" si="1"/>
        <v>779.6</v>
      </c>
      <c r="Z5" s="7">
        <f t="shared" si="1"/>
        <v>815.1</v>
      </c>
      <c r="AA5" s="7">
        <f t="shared" si="1"/>
        <v>800.09999999999991</v>
      </c>
      <c r="AB5" s="7">
        <f t="shared" si="1"/>
        <v>793.2</v>
      </c>
      <c r="AC5" s="7">
        <f t="shared" si="1"/>
        <v>793.6</v>
      </c>
      <c r="AD5" s="7">
        <f t="shared" si="1"/>
        <v>810.5</v>
      </c>
      <c r="AE5" s="7">
        <f t="shared" si="1"/>
        <v>789.2</v>
      </c>
      <c r="AF5" s="7">
        <f t="shared" si="1"/>
        <v>797.3</v>
      </c>
      <c r="AG5" s="7">
        <f t="shared" si="1"/>
        <v>791.9</v>
      </c>
      <c r="AH5" s="7">
        <f t="shared" si="1"/>
        <v>807.4</v>
      </c>
      <c r="AI5" s="7">
        <f t="shared" si="1"/>
        <v>0</v>
      </c>
    </row>
    <row r="6" spans="1:35" s="3" customFormat="1" ht="24.95" customHeight="1">
      <c r="A6" s="56" t="s">
        <v>39</v>
      </c>
      <c r="B6" s="7" t="s">
        <v>40</v>
      </c>
      <c r="C6" s="7">
        <f>D6+'5月'!C6</f>
        <v>28161600</v>
      </c>
      <c r="D6" s="7">
        <f t="shared" si="0"/>
        <v>3806640</v>
      </c>
      <c r="E6" s="7">
        <v>168480</v>
      </c>
      <c r="F6" s="7">
        <v>168720</v>
      </c>
      <c r="G6" s="7">
        <v>173760</v>
      </c>
      <c r="H6" s="7">
        <v>27120</v>
      </c>
      <c r="I6" s="7">
        <v>0</v>
      </c>
      <c r="J6" s="7">
        <v>0</v>
      </c>
      <c r="K6" s="7">
        <v>0</v>
      </c>
      <c r="L6" s="7">
        <v>0</v>
      </c>
      <c r="M6" s="7">
        <v>0</v>
      </c>
      <c r="N6" s="7">
        <v>0</v>
      </c>
      <c r="O6" s="7">
        <v>0</v>
      </c>
      <c r="P6" s="26">
        <v>46080</v>
      </c>
      <c r="Q6" s="7">
        <v>164880</v>
      </c>
      <c r="R6" s="7">
        <v>171600</v>
      </c>
      <c r="S6" s="7">
        <v>175440</v>
      </c>
      <c r="T6" s="7">
        <v>172320</v>
      </c>
      <c r="U6" s="26">
        <v>174720</v>
      </c>
      <c r="V6" s="7">
        <v>171840</v>
      </c>
      <c r="W6" s="7">
        <v>178800</v>
      </c>
      <c r="X6" s="7">
        <v>182160</v>
      </c>
      <c r="Y6" s="7">
        <v>185520</v>
      </c>
      <c r="Z6" s="7">
        <v>180480</v>
      </c>
      <c r="AA6" s="7">
        <v>183120</v>
      </c>
      <c r="AB6" s="7">
        <v>182640</v>
      </c>
      <c r="AC6" s="7">
        <v>179280</v>
      </c>
      <c r="AD6" s="7">
        <v>174000</v>
      </c>
      <c r="AE6" s="7">
        <v>192240</v>
      </c>
      <c r="AF6" s="7">
        <v>190320</v>
      </c>
      <c r="AG6" s="7">
        <v>191520</v>
      </c>
      <c r="AH6" s="7">
        <v>171600</v>
      </c>
      <c r="AI6" s="7"/>
    </row>
    <row r="7" spans="1:35" s="3" customFormat="1" ht="24.95" customHeight="1">
      <c r="A7" s="56"/>
      <c r="B7" s="7" t="s">
        <v>41</v>
      </c>
      <c r="C7" s="7">
        <f>D7+'5月'!C7</f>
        <v>26993790</v>
      </c>
      <c r="D7" s="7">
        <f t="shared" si="0"/>
        <v>4619520</v>
      </c>
      <c r="E7" s="7">
        <v>149040</v>
      </c>
      <c r="F7" s="7">
        <v>148080</v>
      </c>
      <c r="G7" s="7">
        <v>162000</v>
      </c>
      <c r="H7" s="7">
        <v>169200</v>
      </c>
      <c r="I7" s="7">
        <v>171840</v>
      </c>
      <c r="J7" s="7">
        <v>160800</v>
      </c>
      <c r="K7" s="7">
        <v>165840</v>
      </c>
      <c r="L7" s="7">
        <v>172800</v>
      </c>
      <c r="M7" s="7">
        <v>163440</v>
      </c>
      <c r="N7" s="7">
        <v>172080</v>
      </c>
      <c r="O7" s="7">
        <v>167520</v>
      </c>
      <c r="P7" s="26">
        <v>157920</v>
      </c>
      <c r="Q7" s="7">
        <v>147360</v>
      </c>
      <c r="R7" s="7">
        <v>140160</v>
      </c>
      <c r="S7" s="7">
        <v>150240</v>
      </c>
      <c r="T7" s="7">
        <v>145680</v>
      </c>
      <c r="U7" s="7">
        <v>139920</v>
      </c>
      <c r="V7" s="7">
        <v>142320</v>
      </c>
      <c r="W7" s="7">
        <v>143520</v>
      </c>
      <c r="X7" s="7">
        <v>151920</v>
      </c>
      <c r="Y7" s="7">
        <v>158880</v>
      </c>
      <c r="Z7" s="7">
        <v>151920</v>
      </c>
      <c r="AA7" s="7">
        <v>148560</v>
      </c>
      <c r="AB7" s="7">
        <v>145200</v>
      </c>
      <c r="AC7" s="7">
        <v>156960</v>
      </c>
      <c r="AD7" s="7">
        <v>152880</v>
      </c>
      <c r="AE7" s="7">
        <v>142560</v>
      </c>
      <c r="AF7" s="7">
        <v>147120</v>
      </c>
      <c r="AG7" s="7">
        <v>158400</v>
      </c>
      <c r="AH7" s="7">
        <v>135360</v>
      </c>
      <c r="AI7" s="26"/>
    </row>
    <row r="8" spans="1:35" s="3" customFormat="1" ht="24.75" customHeight="1">
      <c r="A8" s="56"/>
      <c r="B8" s="7" t="s">
        <v>38</v>
      </c>
      <c r="C8" s="7">
        <f>D8+'5月'!C8</f>
        <v>55155390</v>
      </c>
      <c r="D8" s="7">
        <f t="shared" si="0"/>
        <v>8426160</v>
      </c>
      <c r="E8" s="7">
        <f>E6+E7</f>
        <v>317520</v>
      </c>
      <c r="F8" s="7">
        <f t="shared" ref="F8:AI8" si="2">F6+F7</f>
        <v>316800</v>
      </c>
      <c r="G8" s="7">
        <f t="shared" si="2"/>
        <v>335760</v>
      </c>
      <c r="H8" s="7">
        <f t="shared" si="2"/>
        <v>196320</v>
      </c>
      <c r="I8" s="7">
        <f t="shared" si="2"/>
        <v>171840</v>
      </c>
      <c r="J8" s="7">
        <f t="shared" si="2"/>
        <v>160800</v>
      </c>
      <c r="K8" s="7">
        <f t="shared" si="2"/>
        <v>165840</v>
      </c>
      <c r="L8" s="7">
        <f t="shared" si="2"/>
        <v>172800</v>
      </c>
      <c r="M8" s="7">
        <f t="shared" si="2"/>
        <v>163440</v>
      </c>
      <c r="N8" s="7">
        <f t="shared" si="2"/>
        <v>172080</v>
      </c>
      <c r="O8" s="7">
        <f t="shared" si="2"/>
        <v>167520</v>
      </c>
      <c r="P8" s="7">
        <f t="shared" si="2"/>
        <v>204000</v>
      </c>
      <c r="Q8" s="7">
        <f t="shared" si="2"/>
        <v>312240</v>
      </c>
      <c r="R8" s="7">
        <f t="shared" si="2"/>
        <v>311760</v>
      </c>
      <c r="S8" s="7">
        <f t="shared" si="2"/>
        <v>325680</v>
      </c>
      <c r="T8" s="7">
        <f t="shared" si="2"/>
        <v>318000</v>
      </c>
      <c r="U8" s="7">
        <f t="shared" si="2"/>
        <v>314640</v>
      </c>
      <c r="V8" s="7">
        <f t="shared" si="2"/>
        <v>314160</v>
      </c>
      <c r="W8" s="7">
        <f t="shared" si="2"/>
        <v>322320</v>
      </c>
      <c r="X8" s="7">
        <f t="shared" si="2"/>
        <v>334080</v>
      </c>
      <c r="Y8" s="7">
        <f t="shared" si="2"/>
        <v>344400</v>
      </c>
      <c r="Z8" s="7">
        <f t="shared" si="2"/>
        <v>332400</v>
      </c>
      <c r="AA8" s="7">
        <f t="shared" si="2"/>
        <v>331680</v>
      </c>
      <c r="AB8" s="7">
        <f t="shared" si="2"/>
        <v>327840</v>
      </c>
      <c r="AC8" s="7">
        <f t="shared" si="2"/>
        <v>336240</v>
      </c>
      <c r="AD8" s="7">
        <f t="shared" si="2"/>
        <v>326880</v>
      </c>
      <c r="AE8" s="7">
        <f t="shared" si="2"/>
        <v>334800</v>
      </c>
      <c r="AF8" s="7">
        <f t="shared" si="2"/>
        <v>337440</v>
      </c>
      <c r="AG8" s="7">
        <f t="shared" si="2"/>
        <v>349920</v>
      </c>
      <c r="AH8" s="7">
        <f t="shared" si="2"/>
        <v>306960</v>
      </c>
      <c r="AI8" s="7">
        <f t="shared" si="2"/>
        <v>0</v>
      </c>
    </row>
    <row r="9" spans="1:35" s="3" customFormat="1" ht="24.95" customHeight="1">
      <c r="A9" s="56" t="s">
        <v>42</v>
      </c>
      <c r="B9" s="7" t="s">
        <v>38</v>
      </c>
      <c r="C9" s="7">
        <f>D9+'5月'!C9</f>
        <v>46423610</v>
      </c>
      <c r="D9" s="7">
        <f t="shared" si="0"/>
        <v>6929220</v>
      </c>
      <c r="E9" s="7">
        <v>262440</v>
      </c>
      <c r="F9" s="7">
        <v>262540</v>
      </c>
      <c r="G9" s="7">
        <v>283280</v>
      </c>
      <c r="H9" s="7">
        <v>151940</v>
      </c>
      <c r="I9" s="7">
        <v>130660</v>
      </c>
      <c r="J9" s="7">
        <v>122860</v>
      </c>
      <c r="K9" s="7">
        <v>125380</v>
      </c>
      <c r="L9" s="7">
        <v>133720</v>
      </c>
      <c r="M9" s="7">
        <v>121280</v>
      </c>
      <c r="N9" s="7">
        <v>132200</v>
      </c>
      <c r="O9" s="7">
        <v>127540</v>
      </c>
      <c r="P9" s="7">
        <v>161740</v>
      </c>
      <c r="Q9" s="7">
        <v>257300</v>
      </c>
      <c r="R9" s="7">
        <v>261600</v>
      </c>
      <c r="S9" s="7">
        <v>271780</v>
      </c>
      <c r="T9" s="7">
        <v>262780</v>
      </c>
      <c r="U9" s="7">
        <v>264640</v>
      </c>
      <c r="V9" s="7">
        <v>259040</v>
      </c>
      <c r="W9" s="7">
        <v>267460</v>
      </c>
      <c r="X9" s="7">
        <v>281080</v>
      </c>
      <c r="Y9" s="7">
        <v>291340</v>
      </c>
      <c r="Z9" s="7">
        <v>277760</v>
      </c>
      <c r="AA9" s="7">
        <v>277880</v>
      </c>
      <c r="AB9" s="7">
        <v>273220</v>
      </c>
      <c r="AC9" s="7">
        <v>281540</v>
      </c>
      <c r="AD9" s="7">
        <v>275040</v>
      </c>
      <c r="AE9" s="7">
        <v>280040</v>
      </c>
      <c r="AF9" s="7">
        <v>283640</v>
      </c>
      <c r="AG9" s="7">
        <v>295700</v>
      </c>
      <c r="AH9" s="7">
        <v>251800</v>
      </c>
      <c r="AI9" s="7"/>
    </row>
    <row r="10" spans="1:35" s="3" customFormat="1" ht="24.95" customHeight="1">
      <c r="A10" s="56"/>
      <c r="B10" s="6" t="s">
        <v>43</v>
      </c>
      <c r="C10" s="8">
        <f>SUM(C8/C5)</f>
        <v>419.50950706555341</v>
      </c>
      <c r="D10" s="8">
        <f t="shared" ref="D10" si="3">SUM(D8/D5)</f>
        <v>406.89968225147516</v>
      </c>
      <c r="E10" s="8">
        <f t="shared" ref="E10:AI10" si="4">SUM(E8/E5)</f>
        <v>388.59380736751928</v>
      </c>
      <c r="F10" s="8">
        <f t="shared" si="4"/>
        <v>395.1110002494388</v>
      </c>
      <c r="G10" s="8">
        <f t="shared" si="4"/>
        <v>418.49682163779136</v>
      </c>
      <c r="H10" s="8">
        <f t="shared" si="4"/>
        <v>437.92103502119113</v>
      </c>
      <c r="I10" s="8">
        <f t="shared" si="4"/>
        <v>415.97676107480027</v>
      </c>
      <c r="J10" s="8">
        <f t="shared" si="4"/>
        <v>369.57021374396686</v>
      </c>
      <c r="K10" s="8">
        <f t="shared" si="4"/>
        <v>394.76315163056415</v>
      </c>
      <c r="L10" s="8">
        <f t="shared" si="4"/>
        <v>395.15206951749371</v>
      </c>
      <c r="M10" s="8">
        <f t="shared" si="4"/>
        <v>396.41038079068636</v>
      </c>
      <c r="N10" s="8">
        <f t="shared" si="4"/>
        <v>415.6521739130435</v>
      </c>
      <c r="O10" s="8">
        <f t="shared" si="4"/>
        <v>396.87277896233115</v>
      </c>
      <c r="P10" s="8">
        <f t="shared" si="4"/>
        <v>353.85949696444061</v>
      </c>
      <c r="Q10" s="8">
        <f t="shared" si="4"/>
        <v>403.72381691233517</v>
      </c>
      <c r="R10" s="8">
        <f t="shared" si="4"/>
        <v>394.28354622486404</v>
      </c>
      <c r="S10" s="8">
        <f t="shared" si="4"/>
        <v>406.99825043739065</v>
      </c>
      <c r="T10" s="8">
        <f t="shared" si="4"/>
        <v>397.05331502060181</v>
      </c>
      <c r="U10" s="8">
        <f t="shared" si="4"/>
        <v>395.92298980747449</v>
      </c>
      <c r="V10" s="8">
        <f t="shared" si="4"/>
        <v>397.46963562753035</v>
      </c>
      <c r="W10" s="8">
        <f t="shared" si="4"/>
        <v>401.09507217521156</v>
      </c>
      <c r="X10" s="8">
        <f t="shared" si="4"/>
        <v>430.29366306027816</v>
      </c>
      <c r="Y10" s="8">
        <f t="shared" si="4"/>
        <v>441.76500769625449</v>
      </c>
      <c r="Z10" s="8">
        <f t="shared" si="4"/>
        <v>407.80272359219725</v>
      </c>
      <c r="AA10" s="8">
        <f t="shared" si="4"/>
        <v>414.54818147731538</v>
      </c>
      <c r="AB10" s="8">
        <f t="shared" si="4"/>
        <v>413.31316187594553</v>
      </c>
      <c r="AC10" s="8">
        <f t="shared" si="4"/>
        <v>423.68951612903226</v>
      </c>
      <c r="AD10" s="8">
        <f t="shared" si="4"/>
        <v>403.30660086366441</v>
      </c>
      <c r="AE10" s="8">
        <f t="shared" si="4"/>
        <v>424.22706538266596</v>
      </c>
      <c r="AF10" s="8">
        <f t="shared" si="4"/>
        <v>423.22839583594634</v>
      </c>
      <c r="AG10" s="8">
        <f t="shared" si="4"/>
        <v>441.87397398661449</v>
      </c>
      <c r="AH10" s="8">
        <f t="shared" si="4"/>
        <v>380.18330443398565</v>
      </c>
      <c r="AI10" s="8" t="e">
        <f t="shared" si="4"/>
        <v>#DIV/0!</v>
      </c>
    </row>
    <row r="11" spans="1:35" s="3" customFormat="1" ht="24.95" customHeight="1">
      <c r="A11" s="56"/>
      <c r="B11" s="9" t="s">
        <v>44</v>
      </c>
      <c r="C11" s="8">
        <f>(C8-C16)/C5</f>
        <v>353.20245003076604</v>
      </c>
      <c r="D11" s="8">
        <f>(D8-D16)/D5</f>
        <v>334.75724592190528</v>
      </c>
      <c r="E11" s="8">
        <f>(E8-E16)/E5</f>
        <v>321.18467751805161</v>
      </c>
      <c r="F11" s="8">
        <f>(F8-F16)/F5</f>
        <v>327.43826390621103</v>
      </c>
      <c r="G11" s="8">
        <f>(G8-G16)/G5</f>
        <v>353.08488096721925</v>
      </c>
      <c r="H11" s="8">
        <f>(H8-H16)/H5</f>
        <v>338.92482712469325</v>
      </c>
      <c r="I11" s="8">
        <f>(I8-I16)/I5</f>
        <v>316.29145485354633</v>
      </c>
      <c r="J11" s="8">
        <f>(J8-J16)/J5</f>
        <v>282.3718685359687</v>
      </c>
      <c r="K11" s="8">
        <f>(K8-K16)/K5</f>
        <v>298.45274934539395</v>
      </c>
      <c r="L11" s="8">
        <f>(L8-L16)/L5</f>
        <v>305.78550194374571</v>
      </c>
      <c r="M11" s="8">
        <f>(M8-M16)/M5</f>
        <v>294.15474169294203</v>
      </c>
      <c r="N11" s="8">
        <f>(N8-N16)/N5</f>
        <v>319.32367149758454</v>
      </c>
      <c r="O11" s="8">
        <f>(O8-O16)/O5</f>
        <v>302.15588723051405</v>
      </c>
      <c r="P11" s="8">
        <f>(P8-P16)/P5</f>
        <v>280.55507372072856</v>
      </c>
      <c r="Q11" s="8">
        <f>(Q8-Q16)/Q5</f>
        <v>332.68683734160851</v>
      </c>
      <c r="R11" s="8">
        <f>(R8-R16)/R5</f>
        <v>330.84608574680658</v>
      </c>
      <c r="S11" s="8">
        <f>(S8-S16)/S5</f>
        <v>339.64008997750562</v>
      </c>
      <c r="T11" s="8">
        <f>(T8-T16)/T5</f>
        <v>328.1058808840055</v>
      </c>
      <c r="U11" s="8">
        <f>(U8-U16)/U5</f>
        <v>333.00616584874791</v>
      </c>
      <c r="V11" s="8">
        <f>(V8-V16)/V5</f>
        <v>327.73279352226723</v>
      </c>
      <c r="W11" s="8">
        <f>(W8-W16)/W5</f>
        <v>336.56047784967643</v>
      </c>
      <c r="X11" s="8">
        <f>(X8-X16)/X5</f>
        <v>362.02988150437915</v>
      </c>
      <c r="Y11" s="8">
        <f>(Y8-Y16)/Y5</f>
        <v>373.70446382760389</v>
      </c>
      <c r="Z11" s="8">
        <f>(Z8-Z16)/Z5</f>
        <v>340.76800392589865</v>
      </c>
      <c r="AA11" s="8">
        <f>(AA8-AA16)/AA5</f>
        <v>347.30658667666546</v>
      </c>
      <c r="AB11" s="8">
        <f>(AB8-AB16)/AB5</f>
        <v>344.45284921835599</v>
      </c>
      <c r="AC11" s="8">
        <f>(AC8-AC16)/AC5</f>
        <v>354.76310483870969</v>
      </c>
      <c r="AD11" s="8">
        <f>(AD8-AD16)/AD5</f>
        <v>339.34608266502158</v>
      </c>
      <c r="AE11" s="8">
        <f>(AE8-AE16)/AE5</f>
        <v>354.84034465281297</v>
      </c>
      <c r="AF11" s="8">
        <f>(AF8-AF16)/AF5</f>
        <v>355.75065847234418</v>
      </c>
      <c r="AG11" s="8">
        <f>(AG8-AG16)/AG5</f>
        <v>373.40573304710193</v>
      </c>
      <c r="AH11" s="8">
        <f>(AH8-AH16)/AH5</f>
        <v>311.86524647015113</v>
      </c>
      <c r="AI11" s="8" t="e">
        <f>(AI8-AI16)/AI5</f>
        <v>#DIV/0!</v>
      </c>
    </row>
    <row r="12" spans="1:35" s="3" customFormat="1" ht="24.95" customHeight="1">
      <c r="A12" s="56"/>
      <c r="B12" s="6" t="s">
        <v>45</v>
      </c>
      <c r="C12" s="8">
        <f>D12+'5月'!C12</f>
        <v>137498.55999999997</v>
      </c>
      <c r="D12" s="8">
        <f t="shared" ref="D12:D16" si="5">SUM(E12:AI12)</f>
        <v>21891.98</v>
      </c>
      <c r="E12" s="7">
        <v>895.54</v>
      </c>
      <c r="F12" s="7">
        <v>1025.0999999999999</v>
      </c>
      <c r="G12" s="7">
        <v>1044.44</v>
      </c>
      <c r="H12" s="7">
        <v>919.38</v>
      </c>
      <c r="I12" s="7">
        <v>732.88</v>
      </c>
      <c r="J12" s="7">
        <v>789.32</v>
      </c>
      <c r="K12" s="7">
        <v>799.64</v>
      </c>
      <c r="L12" s="7">
        <v>819.36</v>
      </c>
      <c r="M12" s="7">
        <v>810.38</v>
      </c>
      <c r="N12" s="7">
        <v>816.04</v>
      </c>
      <c r="O12" s="7">
        <v>829.76</v>
      </c>
      <c r="P12" s="7">
        <v>771.46</v>
      </c>
      <c r="Q12" s="7">
        <v>818.52</v>
      </c>
      <c r="R12" s="7">
        <v>792.5</v>
      </c>
      <c r="S12" s="7">
        <v>978.68</v>
      </c>
      <c r="T12" s="7">
        <v>710.8</v>
      </c>
      <c r="U12" s="7">
        <v>478.48</v>
      </c>
      <c r="V12" s="7">
        <v>436.22</v>
      </c>
      <c r="W12" s="7">
        <v>469.86</v>
      </c>
      <c r="X12" s="7">
        <v>480</v>
      </c>
      <c r="Y12" s="7">
        <v>344.2</v>
      </c>
      <c r="Z12" s="7">
        <v>419.58</v>
      </c>
      <c r="AA12" s="7">
        <v>420.46</v>
      </c>
      <c r="AB12" s="7">
        <v>773.84</v>
      </c>
      <c r="AC12" s="7">
        <v>726.24</v>
      </c>
      <c r="AD12" s="12">
        <v>782.76</v>
      </c>
      <c r="AE12" s="7">
        <v>786.84</v>
      </c>
      <c r="AF12" s="7">
        <v>702.5</v>
      </c>
      <c r="AG12" s="7">
        <v>770.14</v>
      </c>
      <c r="AH12" s="12">
        <v>747.06</v>
      </c>
      <c r="AI12" s="7"/>
    </row>
    <row r="13" spans="1:35" s="3" customFormat="1" ht="24.75" customHeight="1">
      <c r="A13" s="58" t="s">
        <v>46</v>
      </c>
      <c r="B13" s="6" t="s">
        <v>36</v>
      </c>
      <c r="C13" s="8">
        <f>D13+'5月'!C13</f>
        <v>153502</v>
      </c>
      <c r="D13" s="10">
        <f t="shared" si="5"/>
        <v>21018</v>
      </c>
      <c r="E13" s="7">
        <f>314+306+351</f>
        <v>971</v>
      </c>
      <c r="F13" s="7">
        <f>320+295+320</f>
        <v>935</v>
      </c>
      <c r="G13" s="7">
        <f>325+331+309</f>
        <v>965</v>
      </c>
      <c r="H13" s="7">
        <v>186</v>
      </c>
      <c r="I13" s="7">
        <v>0</v>
      </c>
      <c r="J13" s="7">
        <v>0</v>
      </c>
      <c r="K13" s="7">
        <v>0</v>
      </c>
      <c r="L13" s="7">
        <v>0</v>
      </c>
      <c r="M13" s="20">
        <v>0</v>
      </c>
      <c r="N13" s="7">
        <v>0</v>
      </c>
      <c r="O13" s="7">
        <v>0</v>
      </c>
      <c r="P13" s="20">
        <v>265</v>
      </c>
      <c r="Q13" s="7">
        <f>331+308+309</f>
        <v>948</v>
      </c>
      <c r="R13" s="7">
        <f>277+337+312</f>
        <v>926</v>
      </c>
      <c r="S13" s="7">
        <f>345+329+316</f>
        <v>990</v>
      </c>
      <c r="T13" s="7">
        <f>314+303+315</f>
        <v>932</v>
      </c>
      <c r="U13" s="7">
        <f>329+300+325</f>
        <v>954</v>
      </c>
      <c r="V13" s="7">
        <f>303+302+326</f>
        <v>931</v>
      </c>
      <c r="W13" s="7">
        <f>325+321+319</f>
        <v>965</v>
      </c>
      <c r="X13" s="7">
        <f>316+324+347</f>
        <v>987</v>
      </c>
      <c r="Y13" s="7">
        <f>350+335+363</f>
        <v>1048</v>
      </c>
      <c r="Z13" s="7">
        <f>331+341+358</f>
        <v>1030</v>
      </c>
      <c r="AA13" s="7">
        <f>356+340+298</f>
        <v>994</v>
      </c>
      <c r="AB13" s="7">
        <f>315+333+336</f>
        <v>984</v>
      </c>
      <c r="AC13" s="7">
        <f>328+336+358</f>
        <v>1022</v>
      </c>
      <c r="AD13" s="7">
        <f>318+307+370</f>
        <v>995</v>
      </c>
      <c r="AE13" s="7">
        <f>329+329+342</f>
        <v>1000</v>
      </c>
      <c r="AF13" s="7">
        <f>336+317+368</f>
        <v>1021</v>
      </c>
      <c r="AG13" s="7">
        <f>367+338+354</f>
        <v>1059</v>
      </c>
      <c r="AH13" s="7">
        <f>328+281+301</f>
        <v>910</v>
      </c>
      <c r="AI13" s="7"/>
    </row>
    <row r="14" spans="1:35" s="3" customFormat="1" ht="25.5" customHeight="1">
      <c r="A14" s="59"/>
      <c r="B14" s="6" t="s">
        <v>37</v>
      </c>
      <c r="C14" s="8">
        <f>D14+'5月'!C14</f>
        <v>181378</v>
      </c>
      <c r="D14" s="10">
        <f t="shared" si="5"/>
        <v>31577</v>
      </c>
      <c r="E14" s="7">
        <f>331+365+349</f>
        <v>1045</v>
      </c>
      <c r="F14" s="7">
        <f>387+347+320</f>
        <v>1054</v>
      </c>
      <c r="G14" s="7">
        <f>390+362+344</f>
        <v>1096</v>
      </c>
      <c r="H14" s="7">
        <f>329+365+343</f>
        <v>1037</v>
      </c>
      <c r="I14" s="7">
        <f>375+355+359</f>
        <v>1089</v>
      </c>
      <c r="J14" s="7">
        <f>365+335+340</f>
        <v>1040</v>
      </c>
      <c r="K14" s="7">
        <f>340+327+371</f>
        <v>1038</v>
      </c>
      <c r="L14" s="7">
        <f>375+354+371</f>
        <v>1100</v>
      </c>
      <c r="M14" s="20">
        <f>365+355+325</f>
        <v>1045</v>
      </c>
      <c r="N14" s="7">
        <f>394+365+339</f>
        <v>1098</v>
      </c>
      <c r="O14" s="7">
        <f>378+348+339</f>
        <v>1065</v>
      </c>
      <c r="P14" s="20">
        <f>340+340+327</f>
        <v>1007</v>
      </c>
      <c r="Q14" s="7">
        <f>336+348+332</f>
        <v>1016</v>
      </c>
      <c r="R14" s="7">
        <f>327+329+324</f>
        <v>980</v>
      </c>
      <c r="S14" s="7">
        <f>350+309+365</f>
        <v>1024</v>
      </c>
      <c r="T14" s="7">
        <f>331+356+357</f>
        <v>1044</v>
      </c>
      <c r="U14" s="7">
        <f>343+319+334</f>
        <v>996</v>
      </c>
      <c r="V14" s="7">
        <f>350+340+334</f>
        <v>1024</v>
      </c>
      <c r="W14" s="7">
        <f>352+339+338</f>
        <v>1029</v>
      </c>
      <c r="X14" s="7">
        <f>346+360+358</f>
        <v>1064</v>
      </c>
      <c r="Y14" s="7">
        <f>335+355+378</f>
        <v>1068</v>
      </c>
      <c r="Z14" s="7">
        <f>342+346+351</f>
        <v>1039</v>
      </c>
      <c r="AA14" s="7">
        <f>362+346+348</f>
        <v>1056</v>
      </c>
      <c r="AB14" s="7">
        <f>354+356+394</f>
        <v>1104</v>
      </c>
      <c r="AC14" s="7">
        <f>378+350+352</f>
        <v>1080</v>
      </c>
      <c r="AD14" s="7">
        <f>359+355+335</f>
        <v>1049</v>
      </c>
      <c r="AE14" s="7">
        <f>365+363+356</f>
        <v>1084</v>
      </c>
      <c r="AF14" s="7">
        <f>344+373+365</f>
        <v>1082</v>
      </c>
      <c r="AG14" s="7">
        <f>345+365+386</f>
        <v>1096</v>
      </c>
      <c r="AH14" s="7">
        <f>373+302+353</f>
        <v>1028</v>
      </c>
      <c r="AI14" s="7"/>
    </row>
    <row r="15" spans="1:35" s="3" customFormat="1" ht="24" customHeight="1">
      <c r="A15" s="60"/>
      <c r="B15" s="7" t="s">
        <v>38</v>
      </c>
      <c r="C15" s="8">
        <f>D15+'5月'!C15</f>
        <v>334880</v>
      </c>
      <c r="D15" s="7">
        <f t="shared" si="5"/>
        <v>52595</v>
      </c>
      <c r="E15" s="7">
        <f>E13+E14</f>
        <v>2016</v>
      </c>
      <c r="F15" s="7">
        <f t="shared" ref="F15:AI15" si="6">F13+F14</f>
        <v>1989</v>
      </c>
      <c r="G15" s="7">
        <f t="shared" si="6"/>
        <v>2061</v>
      </c>
      <c r="H15" s="7">
        <f t="shared" si="6"/>
        <v>1223</v>
      </c>
      <c r="I15" s="7">
        <f t="shared" si="6"/>
        <v>1089</v>
      </c>
      <c r="J15" s="7">
        <f t="shared" si="6"/>
        <v>1040</v>
      </c>
      <c r="K15" s="7">
        <f t="shared" si="6"/>
        <v>1038</v>
      </c>
      <c r="L15" s="7">
        <f t="shared" si="6"/>
        <v>1100</v>
      </c>
      <c r="M15" s="7">
        <f t="shared" si="6"/>
        <v>1045</v>
      </c>
      <c r="N15" s="7">
        <f t="shared" si="6"/>
        <v>1098</v>
      </c>
      <c r="O15" s="7">
        <f t="shared" si="6"/>
        <v>1065</v>
      </c>
      <c r="P15" s="7">
        <f t="shared" si="6"/>
        <v>1272</v>
      </c>
      <c r="Q15" s="7">
        <f t="shared" si="6"/>
        <v>1964</v>
      </c>
      <c r="R15" s="7">
        <f t="shared" si="6"/>
        <v>1906</v>
      </c>
      <c r="S15" s="7">
        <f t="shared" si="6"/>
        <v>2014</v>
      </c>
      <c r="T15" s="7">
        <f t="shared" si="6"/>
        <v>1976</v>
      </c>
      <c r="U15" s="7">
        <f t="shared" si="6"/>
        <v>1950</v>
      </c>
      <c r="V15" s="7">
        <f t="shared" si="6"/>
        <v>1955</v>
      </c>
      <c r="W15" s="7">
        <f t="shared" si="6"/>
        <v>1994</v>
      </c>
      <c r="X15" s="7">
        <f t="shared" si="6"/>
        <v>2051</v>
      </c>
      <c r="Y15" s="7">
        <f t="shared" si="6"/>
        <v>2116</v>
      </c>
      <c r="Z15" s="7">
        <f t="shared" si="6"/>
        <v>2069</v>
      </c>
      <c r="AA15" s="7">
        <f t="shared" si="6"/>
        <v>2050</v>
      </c>
      <c r="AB15" s="7">
        <f t="shared" si="6"/>
        <v>2088</v>
      </c>
      <c r="AC15" s="7">
        <f t="shared" si="6"/>
        <v>2102</v>
      </c>
      <c r="AD15" s="7">
        <f t="shared" si="6"/>
        <v>2044</v>
      </c>
      <c r="AE15" s="7">
        <f t="shared" si="6"/>
        <v>2084</v>
      </c>
      <c r="AF15" s="7">
        <f t="shared" si="6"/>
        <v>2103</v>
      </c>
      <c r="AG15" s="7">
        <f t="shared" si="6"/>
        <v>2155</v>
      </c>
      <c r="AH15" s="7">
        <f t="shared" si="6"/>
        <v>1938</v>
      </c>
      <c r="AI15" s="7">
        <f t="shared" si="6"/>
        <v>0</v>
      </c>
    </row>
    <row r="16" spans="1:35" s="3" customFormat="1" ht="24.75" customHeight="1">
      <c r="A16" s="56" t="s">
        <v>47</v>
      </c>
      <c r="B16" s="7" t="s">
        <v>38</v>
      </c>
      <c r="C16" s="8">
        <f>D16+'5月'!C16</f>
        <v>8717780</v>
      </c>
      <c r="D16" s="7">
        <f t="shared" si="5"/>
        <v>1493940</v>
      </c>
      <c r="E16" s="7">
        <v>55080</v>
      </c>
      <c r="F16" s="7">
        <v>54260</v>
      </c>
      <c r="G16" s="7">
        <v>52480</v>
      </c>
      <c r="H16" s="7">
        <v>44380</v>
      </c>
      <c r="I16" s="7">
        <v>41180</v>
      </c>
      <c r="J16" s="7">
        <v>37940</v>
      </c>
      <c r="K16" s="7">
        <v>40460</v>
      </c>
      <c r="L16" s="7">
        <v>39080</v>
      </c>
      <c r="M16" s="7">
        <v>42160</v>
      </c>
      <c r="N16" s="7">
        <v>39880</v>
      </c>
      <c r="O16" s="7">
        <v>39980</v>
      </c>
      <c r="P16" s="7">
        <v>42260</v>
      </c>
      <c r="Q16" s="7">
        <v>54940</v>
      </c>
      <c r="R16" s="7">
        <v>50160</v>
      </c>
      <c r="S16" s="7">
        <v>53900</v>
      </c>
      <c r="T16" s="7">
        <v>55220</v>
      </c>
      <c r="U16" s="7">
        <v>50000</v>
      </c>
      <c r="V16" s="7">
        <v>55120</v>
      </c>
      <c r="W16" s="7">
        <v>51860</v>
      </c>
      <c r="X16" s="7">
        <v>53000</v>
      </c>
      <c r="Y16" s="7">
        <v>53060</v>
      </c>
      <c r="Z16" s="7">
        <v>54640</v>
      </c>
      <c r="AA16" s="7">
        <v>53800</v>
      </c>
      <c r="AB16" s="7">
        <v>54620</v>
      </c>
      <c r="AC16" s="7">
        <v>54700</v>
      </c>
      <c r="AD16" s="7">
        <v>51840</v>
      </c>
      <c r="AE16" s="7">
        <v>54760</v>
      </c>
      <c r="AF16" s="7">
        <v>53800</v>
      </c>
      <c r="AG16" s="7">
        <v>54220</v>
      </c>
      <c r="AH16" s="7">
        <v>55160</v>
      </c>
      <c r="AI16" s="7"/>
    </row>
    <row r="17" spans="1:35" s="3" customFormat="1" ht="24.95" customHeight="1">
      <c r="A17" s="56"/>
      <c r="B17" s="6" t="s">
        <v>48</v>
      </c>
      <c r="C17" s="11">
        <f>SUM(C16/C8)</f>
        <v>0.15805853244805268</v>
      </c>
      <c r="D17" s="11">
        <f>SUM(D16/D8)</f>
        <v>0.17729784385770031</v>
      </c>
      <c r="E17" s="11">
        <f>SUM(E16/E8)</f>
        <v>0.17346938775510204</v>
      </c>
      <c r="F17" s="11">
        <f>SUM(F16/F8)</f>
        <v>0.17127525252525252</v>
      </c>
      <c r="G17" s="11">
        <f>SUM(G16/G8)</f>
        <v>0.15630212056230641</v>
      </c>
      <c r="H17" s="11">
        <f>SUM(H16/H8)</f>
        <v>0.22605949470252648</v>
      </c>
      <c r="I17" s="11">
        <f>SUM(I16/I8)</f>
        <v>0.2396415270018622</v>
      </c>
      <c r="J17" s="11">
        <f>SUM(J16/J8)</f>
        <v>0.23594527363184079</v>
      </c>
      <c r="K17" s="11">
        <f>SUM(K16/K8)</f>
        <v>0.24397009165460684</v>
      </c>
      <c r="L17" s="11">
        <f>SUM(L16/L8)</f>
        <v>0.22615740740740742</v>
      </c>
      <c r="M17" s="11">
        <f>SUM(M16/M8)</f>
        <v>0.2579539892315223</v>
      </c>
      <c r="N17" s="11">
        <f>SUM(N16/N8)</f>
        <v>0.23175267317526732</v>
      </c>
      <c r="O17" s="11">
        <f>SUM(O16/O8)</f>
        <v>0.238658070678128</v>
      </c>
      <c r="P17" s="11">
        <f>SUM(P16/P8)</f>
        <v>0.20715686274509804</v>
      </c>
      <c r="Q17" s="11">
        <f>SUM(Q16/Q8)</f>
        <v>0.17595439405585447</v>
      </c>
      <c r="R17" s="11">
        <f>SUM(R16/R8)</f>
        <v>0.1608929946112394</v>
      </c>
      <c r="S17" s="11">
        <f>SUM(S16/S8)</f>
        <v>0.16549987718005404</v>
      </c>
      <c r="T17" s="11">
        <f>SUM(T16/T8)</f>
        <v>0.17364779874213837</v>
      </c>
      <c r="U17" s="11">
        <f>SUM(U16/U8)</f>
        <v>0.15891177218408339</v>
      </c>
      <c r="V17" s="11">
        <f>SUM(V16/V8)</f>
        <v>0.17545199898141076</v>
      </c>
      <c r="W17" s="11">
        <f>SUM(W16/W8)</f>
        <v>0.16089600397120873</v>
      </c>
      <c r="X17" s="11">
        <f>SUM(X16/X8)</f>
        <v>0.15864463601532566</v>
      </c>
      <c r="Y17" s="11">
        <f>SUM(Y16/Y8)</f>
        <v>0.15406504065040649</v>
      </c>
      <c r="Z17" s="11">
        <f>SUM(Z16/Z8)</f>
        <v>0.16438026474127557</v>
      </c>
      <c r="AA17" s="11">
        <f>SUM(AA16/AA8)</f>
        <v>0.16220453449107575</v>
      </c>
      <c r="AB17" s="11">
        <f>SUM(AB16/AB8)</f>
        <v>0.16660566129819424</v>
      </c>
      <c r="AC17" s="11">
        <f>SUM(AC16/AC8)</f>
        <v>0.1626814180347371</v>
      </c>
      <c r="AD17" s="11">
        <f>SUM(AD16/AD8)</f>
        <v>0.15859030837004406</v>
      </c>
      <c r="AE17" s="11">
        <f>SUM(AE16/AE8)</f>
        <v>0.16356033452807647</v>
      </c>
      <c r="AF17" s="11">
        <f>SUM(AF16/AF8)</f>
        <v>0.15943575154101469</v>
      </c>
      <c r="AG17" s="11">
        <f>SUM(AG16/AG8)</f>
        <v>0.15494970278920897</v>
      </c>
      <c r="AH17" s="11">
        <f>SUM(AH16/AH8)</f>
        <v>0.17969768047954132</v>
      </c>
      <c r="AI17" s="11" t="e">
        <f>SUM(AI16/AI8)</f>
        <v>#DIV/0!</v>
      </c>
    </row>
    <row r="18" spans="1:35" s="3" customFormat="1" ht="24.95" customHeight="1">
      <c r="A18" s="13"/>
      <c r="B18" s="13" t="s">
        <v>49</v>
      </c>
      <c r="C18" s="7"/>
      <c r="D18" s="7">
        <f>COUNT(E18:AI18)</f>
        <v>30</v>
      </c>
      <c r="E18" s="14">
        <v>7100</v>
      </c>
      <c r="F18" s="14">
        <v>7000</v>
      </c>
      <c r="G18" s="14">
        <v>7000</v>
      </c>
      <c r="H18" s="14">
        <v>7400</v>
      </c>
      <c r="I18" s="14">
        <v>7500</v>
      </c>
      <c r="J18" s="7">
        <v>7800</v>
      </c>
      <c r="K18" s="14">
        <v>8000</v>
      </c>
      <c r="L18" s="14">
        <v>8200</v>
      </c>
      <c r="M18" s="7">
        <v>8400</v>
      </c>
      <c r="N18" s="7">
        <v>8800</v>
      </c>
      <c r="O18" s="7">
        <v>9000</v>
      </c>
      <c r="P18" s="7">
        <v>9100</v>
      </c>
      <c r="Q18" s="7">
        <v>9000</v>
      </c>
      <c r="R18" s="7">
        <v>9000</v>
      </c>
      <c r="S18" s="7">
        <v>9000</v>
      </c>
      <c r="T18" s="7">
        <v>8700</v>
      </c>
      <c r="U18" s="7">
        <v>8200</v>
      </c>
      <c r="V18" s="7">
        <v>7600</v>
      </c>
      <c r="W18" s="7">
        <v>7000</v>
      </c>
      <c r="X18" s="7">
        <v>6700</v>
      </c>
      <c r="Y18" s="7">
        <v>6100</v>
      </c>
      <c r="Z18" s="7">
        <v>5400</v>
      </c>
      <c r="AA18" s="7">
        <v>5000</v>
      </c>
      <c r="AB18" s="7">
        <v>4900</v>
      </c>
      <c r="AC18" s="7">
        <v>4500</v>
      </c>
      <c r="AD18" s="7">
        <v>4300</v>
      </c>
      <c r="AE18" s="7">
        <v>4200</v>
      </c>
      <c r="AF18" s="7">
        <v>3900</v>
      </c>
      <c r="AG18" s="7">
        <v>3800</v>
      </c>
      <c r="AH18" s="7">
        <v>3500</v>
      </c>
      <c r="AI18" s="7"/>
    </row>
    <row r="19" spans="1:35" s="3" customFormat="1" ht="24.95" customHeight="1">
      <c r="A19" s="61" t="s">
        <v>50</v>
      </c>
      <c r="B19" s="13" t="s">
        <v>51</v>
      </c>
      <c r="C19" s="7">
        <f>D19+'5月'!C19</f>
        <v>7352.22</v>
      </c>
      <c r="D19" s="7">
        <f t="shared" ref="D19:D28" si="7">SUM(E19:AI19)</f>
        <v>0</v>
      </c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28"/>
      <c r="T19" s="28"/>
      <c r="U19" s="28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</row>
    <row r="20" spans="1:35" s="3" customFormat="1" ht="24.95" customHeight="1">
      <c r="A20" s="62"/>
      <c r="B20" s="13" t="s">
        <v>52</v>
      </c>
      <c r="C20" s="7">
        <f>D20+'5月'!C20</f>
        <v>52449.16</v>
      </c>
      <c r="D20" s="7">
        <f t="shared" si="7"/>
        <v>7772.16</v>
      </c>
      <c r="E20" s="15">
        <v>339.6</v>
      </c>
      <c r="F20" s="15">
        <v>328.52</v>
      </c>
      <c r="G20" s="15">
        <v>359.88</v>
      </c>
      <c r="H20" s="15">
        <v>353.34</v>
      </c>
      <c r="I20" s="15">
        <v>348.64</v>
      </c>
      <c r="J20" s="15">
        <v>334.14</v>
      </c>
      <c r="K20" s="15">
        <v>349.26</v>
      </c>
      <c r="L20" s="15">
        <v>341.22</v>
      </c>
      <c r="M20" s="15">
        <v>334.86</v>
      </c>
      <c r="N20" s="15">
        <v>305.68</v>
      </c>
      <c r="O20" s="15">
        <v>332.56</v>
      </c>
      <c r="P20" s="15">
        <v>347.22</v>
      </c>
      <c r="Q20" s="15">
        <v>336.1</v>
      </c>
      <c r="R20" s="15">
        <v>382.96</v>
      </c>
      <c r="S20" s="28">
        <v>375.82</v>
      </c>
      <c r="T20" s="28">
        <v>226.66</v>
      </c>
      <c r="U20" s="28">
        <v>0</v>
      </c>
      <c r="V20" s="15"/>
      <c r="W20" s="15"/>
      <c r="X20" s="15"/>
      <c r="Y20" s="15"/>
      <c r="Z20" s="15"/>
      <c r="AA20" s="15"/>
      <c r="AB20" s="15">
        <v>340.98</v>
      </c>
      <c r="AC20" s="15">
        <v>318.08</v>
      </c>
      <c r="AD20" s="15">
        <v>344.46</v>
      </c>
      <c r="AE20" s="15">
        <v>335.4</v>
      </c>
      <c r="AF20" s="15">
        <v>346.72</v>
      </c>
      <c r="AG20" s="15">
        <v>351.98</v>
      </c>
      <c r="AH20" s="15">
        <v>338.08</v>
      </c>
      <c r="AI20" s="15"/>
    </row>
    <row r="21" spans="1:35" s="3" customFormat="1" ht="24.95" customHeight="1">
      <c r="A21" s="62"/>
      <c r="B21" s="13" t="s">
        <v>53</v>
      </c>
      <c r="C21" s="7">
        <f>D21+'5月'!C21</f>
        <v>0</v>
      </c>
      <c r="D21" s="7">
        <f t="shared" si="7"/>
        <v>0</v>
      </c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28"/>
      <c r="T21" s="28"/>
      <c r="U21" s="28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</row>
    <row r="22" spans="1:35" s="3" customFormat="1" ht="24.95" customHeight="1">
      <c r="A22" s="62"/>
      <c r="B22" s="13" t="s">
        <v>54</v>
      </c>
      <c r="C22" s="7">
        <f>D22+'5月'!C22</f>
        <v>0</v>
      </c>
      <c r="D22" s="7">
        <f t="shared" si="7"/>
        <v>0</v>
      </c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28"/>
      <c r="T22" s="28"/>
      <c r="U22" s="28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</row>
    <row r="23" spans="1:35" s="3" customFormat="1" ht="22.15" customHeight="1">
      <c r="A23" s="62"/>
      <c r="B23" s="13" t="s">
        <v>55</v>
      </c>
      <c r="C23" s="7">
        <f>D23+'5月'!C23</f>
        <v>0</v>
      </c>
      <c r="D23" s="7">
        <f t="shared" si="7"/>
        <v>0</v>
      </c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28"/>
      <c r="T23" s="28"/>
      <c r="U23" s="28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</row>
    <row r="24" spans="1:35" s="3" customFormat="1" ht="22.15" customHeight="1">
      <c r="A24" s="62"/>
      <c r="B24" s="13" t="s">
        <v>56</v>
      </c>
      <c r="C24" s="7">
        <f>D24+'5月'!C24</f>
        <v>8603.5399999999991</v>
      </c>
      <c r="D24" s="7">
        <f t="shared" si="7"/>
        <v>746.40000000000009</v>
      </c>
      <c r="E24" s="15">
        <v>200.3</v>
      </c>
      <c r="F24" s="15">
        <v>217.16</v>
      </c>
      <c r="G24" s="15">
        <v>214.84</v>
      </c>
      <c r="H24" s="15">
        <v>114.1</v>
      </c>
      <c r="I24" s="15">
        <v>0</v>
      </c>
      <c r="J24" s="15">
        <v>0</v>
      </c>
      <c r="K24" s="15">
        <v>0</v>
      </c>
      <c r="L24" s="15">
        <v>0</v>
      </c>
      <c r="M24" s="15">
        <v>0</v>
      </c>
      <c r="N24" s="15">
        <v>0</v>
      </c>
      <c r="O24" s="15">
        <v>0</v>
      </c>
      <c r="P24" s="15"/>
      <c r="Q24" s="15"/>
      <c r="R24" s="15"/>
      <c r="S24" s="28"/>
      <c r="T24" s="28"/>
      <c r="U24" s="28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</row>
    <row r="25" spans="1:35" s="3" customFormat="1" ht="21.75" customHeight="1">
      <c r="A25" s="62"/>
      <c r="B25" s="13" t="s">
        <v>57</v>
      </c>
      <c r="C25" s="7">
        <f>D25+'5月'!C25</f>
        <v>57746</v>
      </c>
      <c r="D25" s="7">
        <f t="shared" si="7"/>
        <v>10627</v>
      </c>
      <c r="E25" s="15">
        <v>258.83999999999997</v>
      </c>
      <c r="F25" s="15">
        <v>383.36</v>
      </c>
      <c r="G25" s="15">
        <v>362.96</v>
      </c>
      <c r="H25" s="15">
        <v>373.82</v>
      </c>
      <c r="I25" s="15">
        <v>284.74</v>
      </c>
      <c r="J25" s="15">
        <v>380.12</v>
      </c>
      <c r="K25" s="15">
        <v>352.72</v>
      </c>
      <c r="L25" s="15">
        <v>381.98</v>
      </c>
      <c r="M25" s="15">
        <v>382.3</v>
      </c>
      <c r="N25" s="15">
        <v>425.2</v>
      </c>
      <c r="O25" s="15">
        <v>407.64</v>
      </c>
      <c r="P25" s="15">
        <v>337.64</v>
      </c>
      <c r="Q25" s="15">
        <v>400.18</v>
      </c>
      <c r="R25" s="15">
        <v>314.76</v>
      </c>
      <c r="S25" s="28">
        <v>495.42</v>
      </c>
      <c r="T25" s="28">
        <v>390.54</v>
      </c>
      <c r="U25" s="28">
        <v>383.48</v>
      </c>
      <c r="V25" s="15">
        <v>349.46</v>
      </c>
      <c r="W25" s="15">
        <v>367</v>
      </c>
      <c r="X25" s="15">
        <v>406.6</v>
      </c>
      <c r="Y25" s="15">
        <v>275.88</v>
      </c>
      <c r="Z25" s="15">
        <v>312.02</v>
      </c>
      <c r="AA25" s="15">
        <v>338.84</v>
      </c>
      <c r="AB25" s="15">
        <v>344.98</v>
      </c>
      <c r="AC25" s="15">
        <v>319.22000000000003</v>
      </c>
      <c r="AD25" s="15">
        <v>334.68</v>
      </c>
      <c r="AE25" s="15">
        <v>367.08</v>
      </c>
      <c r="AF25" s="15">
        <v>256.98</v>
      </c>
      <c r="AG25" s="15">
        <v>329.96</v>
      </c>
      <c r="AH25" s="15">
        <v>308.60000000000002</v>
      </c>
      <c r="AI25" s="15"/>
    </row>
    <row r="26" spans="1:35" s="3" customFormat="1" ht="18" customHeight="1">
      <c r="A26" s="62"/>
      <c r="B26" s="13" t="s">
        <v>58</v>
      </c>
      <c r="C26" s="7">
        <f>D26+'5月'!C26</f>
        <v>11347.639999999998</v>
      </c>
      <c r="D26" s="7">
        <f t="shared" si="7"/>
        <v>2746.42</v>
      </c>
      <c r="E26" s="15">
        <v>96.8</v>
      </c>
      <c r="F26" s="15">
        <v>96.06</v>
      </c>
      <c r="G26" s="15">
        <v>106.76</v>
      </c>
      <c r="H26" s="15">
        <v>78.12</v>
      </c>
      <c r="I26" s="15">
        <v>99.5</v>
      </c>
      <c r="J26" s="15">
        <v>75.06</v>
      </c>
      <c r="K26" s="15">
        <v>97.66</v>
      </c>
      <c r="L26" s="15">
        <v>96.16</v>
      </c>
      <c r="M26" s="15">
        <v>93.22</v>
      </c>
      <c r="N26" s="15">
        <v>85.16</v>
      </c>
      <c r="O26" s="15">
        <v>89.56</v>
      </c>
      <c r="P26" s="15">
        <v>86.6</v>
      </c>
      <c r="Q26" s="15">
        <v>82.24</v>
      </c>
      <c r="R26" s="15">
        <v>94.78</v>
      </c>
      <c r="S26" s="15">
        <v>107.44</v>
      </c>
      <c r="T26" s="28">
        <v>93.6</v>
      </c>
      <c r="U26" s="28">
        <v>95</v>
      </c>
      <c r="V26" s="15">
        <v>86.76</v>
      </c>
      <c r="W26" s="15">
        <v>102.86</v>
      </c>
      <c r="X26" s="15">
        <v>73.400000000000006</v>
      </c>
      <c r="Y26" s="15">
        <v>68.319999999999993</v>
      </c>
      <c r="Z26" s="15">
        <v>107.56</v>
      </c>
      <c r="AA26" s="15">
        <v>81.62</v>
      </c>
      <c r="AB26" s="15">
        <v>87.88</v>
      </c>
      <c r="AC26" s="15">
        <v>88.94</v>
      </c>
      <c r="AD26" s="15">
        <v>103.62</v>
      </c>
      <c r="AE26" s="15">
        <v>84.36</v>
      </c>
      <c r="AF26" s="15">
        <v>98.8</v>
      </c>
      <c r="AG26" s="15">
        <v>88.2</v>
      </c>
      <c r="AH26" s="15">
        <v>100.38</v>
      </c>
      <c r="AI26" s="15"/>
    </row>
    <row r="27" spans="1:35" s="3" customFormat="1" ht="18" customHeight="1">
      <c r="A27" s="62"/>
      <c r="B27" s="16" t="s">
        <v>59</v>
      </c>
      <c r="C27" s="7">
        <f>D27+'5月'!C27</f>
        <v>0</v>
      </c>
      <c r="D27" s="7">
        <f t="shared" si="7"/>
        <v>0</v>
      </c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28"/>
      <c r="U27" s="28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</row>
    <row r="28" spans="1:35" s="3" customFormat="1" ht="18" customHeight="1">
      <c r="A28" s="62"/>
      <c r="B28" s="16" t="s">
        <v>60</v>
      </c>
      <c r="C28" s="7">
        <f>D28+'5月'!C28</f>
        <v>0</v>
      </c>
      <c r="D28" s="7">
        <f t="shared" si="7"/>
        <v>0</v>
      </c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28"/>
      <c r="U28" s="28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</row>
    <row r="29" spans="1:35" s="3" customFormat="1" ht="18" hidden="1" customHeight="1">
      <c r="A29" s="63"/>
      <c r="B29" s="16"/>
      <c r="C29" s="7">
        <f>D29+'5月'!C29</f>
        <v>0</v>
      </c>
      <c r="D29" s="7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</row>
    <row r="30" spans="1:35" s="3" customFormat="1" ht="26.1" customHeight="1">
      <c r="A30" s="12"/>
      <c r="B30" s="12" t="s">
        <v>61</v>
      </c>
      <c r="C30" s="7">
        <f>D30+'5月'!C30</f>
        <v>137498.56</v>
      </c>
      <c r="D30" s="7">
        <f>SUM(D19:D29)</f>
        <v>21891.979999999996</v>
      </c>
      <c r="E30" s="7">
        <f t="shared" ref="E30:AI30" si="8">SUM(E19:E29)</f>
        <v>895.54</v>
      </c>
      <c r="F30" s="7">
        <f t="shared" si="8"/>
        <v>1025.0999999999999</v>
      </c>
      <c r="G30" s="7">
        <f t="shared" si="8"/>
        <v>1044.44</v>
      </c>
      <c r="H30" s="7">
        <f t="shared" si="8"/>
        <v>919.38</v>
      </c>
      <c r="I30" s="7">
        <f t="shared" si="8"/>
        <v>732.88</v>
      </c>
      <c r="J30" s="7">
        <f t="shared" si="8"/>
        <v>789.31999999999994</v>
      </c>
      <c r="K30" s="7">
        <f t="shared" si="8"/>
        <v>799.64</v>
      </c>
      <c r="L30" s="7">
        <f t="shared" si="8"/>
        <v>819.36</v>
      </c>
      <c r="M30" s="7">
        <f t="shared" si="8"/>
        <v>810.38000000000011</v>
      </c>
      <c r="N30" s="7">
        <f t="shared" si="8"/>
        <v>816.04</v>
      </c>
      <c r="O30" s="7">
        <f t="shared" si="8"/>
        <v>829.76</v>
      </c>
      <c r="P30" s="7">
        <f t="shared" si="8"/>
        <v>771.46</v>
      </c>
      <c r="Q30" s="7">
        <f t="shared" si="8"/>
        <v>818.52</v>
      </c>
      <c r="R30" s="7">
        <f t="shared" si="8"/>
        <v>792.5</v>
      </c>
      <c r="S30" s="7">
        <f t="shared" si="8"/>
        <v>978.68000000000006</v>
      </c>
      <c r="T30" s="7">
        <f t="shared" si="8"/>
        <v>710.80000000000007</v>
      </c>
      <c r="U30" s="7">
        <f t="shared" si="8"/>
        <v>478.48</v>
      </c>
      <c r="V30" s="7">
        <f t="shared" si="8"/>
        <v>436.21999999999997</v>
      </c>
      <c r="W30" s="7">
        <f t="shared" si="8"/>
        <v>469.86</v>
      </c>
      <c r="X30" s="7">
        <f t="shared" si="8"/>
        <v>480</v>
      </c>
      <c r="Y30" s="7">
        <f t="shared" si="8"/>
        <v>344.2</v>
      </c>
      <c r="Z30" s="7">
        <f t="shared" si="8"/>
        <v>419.58</v>
      </c>
      <c r="AA30" s="7">
        <f t="shared" si="8"/>
        <v>420.46</v>
      </c>
      <c r="AB30" s="7">
        <f t="shared" si="8"/>
        <v>773.84</v>
      </c>
      <c r="AC30" s="7">
        <f t="shared" si="8"/>
        <v>726.24</v>
      </c>
      <c r="AD30" s="7">
        <f t="shared" si="8"/>
        <v>782.76</v>
      </c>
      <c r="AE30" s="7">
        <f t="shared" si="8"/>
        <v>786.84</v>
      </c>
      <c r="AF30" s="7">
        <f t="shared" si="8"/>
        <v>702.5</v>
      </c>
      <c r="AG30" s="7">
        <f t="shared" si="8"/>
        <v>770.1400000000001</v>
      </c>
      <c r="AH30" s="7">
        <f t="shared" si="8"/>
        <v>747.06000000000006</v>
      </c>
      <c r="AI30" s="7">
        <f t="shared" si="8"/>
        <v>0</v>
      </c>
    </row>
    <row r="31" spans="1:35" s="3" customFormat="1" ht="24.95" customHeight="1">
      <c r="A31" s="57" t="s">
        <v>62</v>
      </c>
      <c r="B31" s="7" t="s">
        <v>63</v>
      </c>
      <c r="C31" s="7">
        <f>D31+'5月'!C31</f>
        <v>25628.1</v>
      </c>
      <c r="D31" s="7">
        <f t="shared" ref="D31:D37" si="9">SUM(E31:AI31)</f>
        <v>3817.58</v>
      </c>
      <c r="E31" s="7">
        <v>107.06</v>
      </c>
      <c r="F31" s="7">
        <v>86.58</v>
      </c>
      <c r="G31" s="7">
        <v>126.42</v>
      </c>
      <c r="H31" s="29">
        <v>117.62</v>
      </c>
      <c r="I31" s="7">
        <v>81.84</v>
      </c>
      <c r="J31" s="7">
        <v>99.18</v>
      </c>
      <c r="K31" s="7">
        <v>124.18</v>
      </c>
      <c r="L31" s="7">
        <v>106.92</v>
      </c>
      <c r="M31" s="7">
        <v>104.3</v>
      </c>
      <c r="N31" s="7">
        <v>64.86</v>
      </c>
      <c r="O31" s="7">
        <v>99.88</v>
      </c>
      <c r="P31" s="7">
        <v>78.180000000000007</v>
      </c>
      <c r="Q31" s="7">
        <v>105.32</v>
      </c>
      <c r="R31" s="7">
        <v>131.44</v>
      </c>
      <c r="S31" s="7">
        <v>88.62</v>
      </c>
      <c r="T31" s="7">
        <v>100.74</v>
      </c>
      <c r="U31" s="29">
        <v>139.24</v>
      </c>
      <c r="V31" s="7">
        <v>130.54</v>
      </c>
      <c r="W31" s="7">
        <v>135.28</v>
      </c>
      <c r="X31" s="7">
        <v>194.84</v>
      </c>
      <c r="Y31" s="7">
        <v>190</v>
      </c>
      <c r="Z31" s="7">
        <v>170.3</v>
      </c>
      <c r="AA31" s="7">
        <v>167.12</v>
      </c>
      <c r="AB31" s="29">
        <v>102.04</v>
      </c>
      <c r="AC31" s="29">
        <v>183.52</v>
      </c>
      <c r="AD31" s="29">
        <v>136.68</v>
      </c>
      <c r="AE31" s="29">
        <v>165.32</v>
      </c>
      <c r="AF31" s="29">
        <v>172.8</v>
      </c>
      <c r="AG31" s="29">
        <v>131.04</v>
      </c>
      <c r="AH31" s="29">
        <v>175.72</v>
      </c>
      <c r="AI31" s="7"/>
    </row>
    <row r="32" spans="1:35" s="3" customFormat="1" ht="24.95" customHeight="1">
      <c r="A32" s="57"/>
      <c r="B32" s="7" t="s">
        <v>64</v>
      </c>
      <c r="C32" s="7">
        <f>D32+'5月'!C32</f>
        <v>3230.96</v>
      </c>
      <c r="D32" s="7">
        <f t="shared" si="9"/>
        <v>582.12</v>
      </c>
      <c r="E32" s="7">
        <v>30.32</v>
      </c>
      <c r="F32" s="7">
        <v>35.86</v>
      </c>
      <c r="G32" s="7">
        <v>13.14</v>
      </c>
      <c r="H32" s="20">
        <v>31.92</v>
      </c>
      <c r="I32" s="7">
        <v>10.34</v>
      </c>
      <c r="J32" s="7">
        <v>14.74</v>
      </c>
      <c r="K32" s="7">
        <v>11.52</v>
      </c>
      <c r="L32" s="7">
        <v>33.9</v>
      </c>
      <c r="M32" s="7">
        <v>0</v>
      </c>
      <c r="N32" s="7">
        <v>11.08</v>
      </c>
      <c r="O32" s="7">
        <v>31.22</v>
      </c>
      <c r="P32" s="7">
        <v>10.62</v>
      </c>
      <c r="Q32" s="7">
        <v>9.32</v>
      </c>
      <c r="R32" s="7">
        <v>11.54</v>
      </c>
      <c r="S32" s="7">
        <v>12.18</v>
      </c>
      <c r="T32" s="7">
        <v>8.5</v>
      </c>
      <c r="U32" s="7">
        <v>10.42</v>
      </c>
      <c r="V32" s="7">
        <v>12.42</v>
      </c>
      <c r="W32" s="7">
        <v>27.78</v>
      </c>
      <c r="X32" s="7">
        <v>32.96</v>
      </c>
      <c r="Y32" s="7">
        <v>9.86</v>
      </c>
      <c r="Z32" s="7">
        <v>22.18</v>
      </c>
      <c r="AA32" s="7">
        <v>24.8</v>
      </c>
      <c r="AB32" s="20">
        <v>0</v>
      </c>
      <c r="AC32" s="20">
        <v>21.34</v>
      </c>
      <c r="AD32" s="20">
        <v>13.62</v>
      </c>
      <c r="AE32" s="20">
        <v>40.56</v>
      </c>
      <c r="AF32" s="20">
        <v>43.6</v>
      </c>
      <c r="AG32" s="20">
        <v>12.58</v>
      </c>
      <c r="AH32" s="20">
        <v>33.799999999999997</v>
      </c>
      <c r="AI32" s="7"/>
    </row>
    <row r="33" spans="1:35" s="3" customFormat="1" ht="24.95" customHeight="1">
      <c r="A33" s="57"/>
      <c r="B33" s="6" t="s">
        <v>65</v>
      </c>
      <c r="C33" s="7">
        <f>D33+'5月'!C33</f>
        <v>10159</v>
      </c>
      <c r="D33" s="7">
        <f t="shared" si="9"/>
        <v>3029</v>
      </c>
      <c r="E33" s="7">
        <v>0</v>
      </c>
      <c r="F33" s="7">
        <v>266</v>
      </c>
      <c r="G33" s="7">
        <v>0</v>
      </c>
      <c r="H33" s="7">
        <v>0</v>
      </c>
      <c r="I33" s="7">
        <v>195</v>
      </c>
      <c r="J33" s="7">
        <v>0</v>
      </c>
      <c r="K33" s="7">
        <v>107</v>
      </c>
      <c r="L33" s="7">
        <v>181</v>
      </c>
      <c r="M33" s="7">
        <v>158</v>
      </c>
      <c r="N33" s="7">
        <v>0</v>
      </c>
      <c r="O33" s="7">
        <v>111</v>
      </c>
      <c r="P33" s="7">
        <v>0</v>
      </c>
      <c r="Q33" s="7">
        <v>143</v>
      </c>
      <c r="R33" s="7">
        <v>0</v>
      </c>
      <c r="S33" s="7">
        <v>154</v>
      </c>
      <c r="T33" s="7">
        <v>195</v>
      </c>
      <c r="U33" s="7">
        <v>145</v>
      </c>
      <c r="V33" s="7">
        <v>178</v>
      </c>
      <c r="W33" s="7">
        <v>178</v>
      </c>
      <c r="X33" s="7">
        <v>0</v>
      </c>
      <c r="Y33" s="7">
        <v>124</v>
      </c>
      <c r="Z33" s="7">
        <v>229</v>
      </c>
      <c r="AA33" s="7">
        <v>0</v>
      </c>
      <c r="AB33" s="7">
        <v>0</v>
      </c>
      <c r="AC33" s="7">
        <v>244</v>
      </c>
      <c r="AD33" s="7">
        <v>157</v>
      </c>
      <c r="AE33" s="7">
        <v>0</v>
      </c>
      <c r="AF33" s="7">
        <v>120</v>
      </c>
      <c r="AG33" s="7">
        <v>0</v>
      </c>
      <c r="AH33" s="7">
        <v>144</v>
      </c>
      <c r="AI33" s="7"/>
    </row>
    <row r="34" spans="1:35" s="3" customFormat="1" ht="24.95" customHeight="1">
      <c r="A34" s="57"/>
      <c r="B34" s="7" t="s">
        <v>66</v>
      </c>
      <c r="C34" s="7">
        <f>D34+'5月'!C34</f>
        <v>40253</v>
      </c>
      <c r="D34" s="7">
        <f t="shared" si="9"/>
        <v>9097</v>
      </c>
      <c r="E34" s="7">
        <v>352</v>
      </c>
      <c r="F34" s="7">
        <v>351</v>
      </c>
      <c r="G34" s="7">
        <v>441</v>
      </c>
      <c r="H34" s="7">
        <v>355</v>
      </c>
      <c r="I34" s="7">
        <v>296</v>
      </c>
      <c r="J34" s="7">
        <v>163</v>
      </c>
      <c r="K34" s="7">
        <v>350</v>
      </c>
      <c r="L34" s="7">
        <v>270</v>
      </c>
      <c r="M34" s="7">
        <v>250</v>
      </c>
      <c r="N34" s="7">
        <v>207</v>
      </c>
      <c r="O34" s="7">
        <v>190</v>
      </c>
      <c r="P34" s="7">
        <v>218</v>
      </c>
      <c r="Q34" s="7">
        <v>198</v>
      </c>
      <c r="R34" s="7">
        <v>275</v>
      </c>
      <c r="S34" s="7">
        <v>190</v>
      </c>
      <c r="T34" s="7">
        <v>282</v>
      </c>
      <c r="U34" s="7">
        <v>247</v>
      </c>
      <c r="V34" s="7">
        <v>304</v>
      </c>
      <c r="W34" s="7">
        <v>370</v>
      </c>
      <c r="X34" s="7">
        <v>365</v>
      </c>
      <c r="Y34" s="7">
        <v>308</v>
      </c>
      <c r="Z34" s="7">
        <v>282</v>
      </c>
      <c r="AA34" s="7">
        <v>354</v>
      </c>
      <c r="AB34" s="7">
        <v>355</v>
      </c>
      <c r="AC34" s="7">
        <v>353</v>
      </c>
      <c r="AD34" s="7">
        <v>324</v>
      </c>
      <c r="AE34" s="7">
        <v>384</v>
      </c>
      <c r="AF34" s="7">
        <v>381</v>
      </c>
      <c r="AG34" s="7">
        <v>360</v>
      </c>
      <c r="AH34" s="7">
        <v>322</v>
      </c>
      <c r="AI34" s="7"/>
    </row>
    <row r="35" spans="1:35" s="3" customFormat="1" ht="24.95" customHeight="1">
      <c r="A35" s="58" t="s">
        <v>67</v>
      </c>
      <c r="B35" s="7" t="s">
        <v>68</v>
      </c>
      <c r="C35" s="7">
        <f>D35+'5月'!C35</f>
        <v>305.61</v>
      </c>
      <c r="D35" s="7">
        <f t="shared" si="9"/>
        <v>48.558000000000007</v>
      </c>
      <c r="E35" s="31">
        <v>1.851</v>
      </c>
      <c r="F35" s="31">
        <v>1.9550000000000001</v>
      </c>
      <c r="G35" s="31">
        <v>1.994</v>
      </c>
      <c r="H35" s="32">
        <v>1.1040000000000001</v>
      </c>
      <c r="I35" s="32">
        <v>0.96799999999999997</v>
      </c>
      <c r="J35" s="32">
        <v>0.98199999999999998</v>
      </c>
      <c r="K35" s="32">
        <v>1.038</v>
      </c>
      <c r="L35" s="32">
        <v>1.0229999999999999</v>
      </c>
      <c r="M35" s="32">
        <v>0.96799999999999997</v>
      </c>
      <c r="N35" s="32">
        <v>1.03</v>
      </c>
      <c r="O35" s="32">
        <v>0.97299999999999998</v>
      </c>
      <c r="P35" s="32">
        <v>1.2529999999999999</v>
      </c>
      <c r="Q35" s="32">
        <v>1.891</v>
      </c>
      <c r="R35" s="32">
        <v>1.786</v>
      </c>
      <c r="S35" s="32">
        <v>1.8879999999999999</v>
      </c>
      <c r="T35" s="34">
        <v>1.9390000000000001</v>
      </c>
      <c r="U35" s="32">
        <v>1.7949999999999999</v>
      </c>
      <c r="V35" s="32">
        <v>1.895</v>
      </c>
      <c r="W35" s="32">
        <v>1.915</v>
      </c>
      <c r="X35" s="32">
        <v>1.8520000000000001</v>
      </c>
      <c r="Y35" s="32">
        <v>2</v>
      </c>
      <c r="Z35" s="32">
        <v>1.806</v>
      </c>
      <c r="AA35" s="32">
        <v>1.881</v>
      </c>
      <c r="AB35" s="32">
        <v>1.8839999999999999</v>
      </c>
      <c r="AC35" s="32">
        <v>1.8129999999999999</v>
      </c>
      <c r="AD35" s="32">
        <v>1.927</v>
      </c>
      <c r="AE35" s="32">
        <v>1.893</v>
      </c>
      <c r="AF35" s="35">
        <v>1.772</v>
      </c>
      <c r="AG35" s="32">
        <v>1.7609999999999999</v>
      </c>
      <c r="AH35" s="32">
        <v>1.7210000000000001</v>
      </c>
      <c r="AI35" s="7"/>
    </row>
    <row r="36" spans="1:35" s="3" customFormat="1" ht="24.95" customHeight="1">
      <c r="A36" s="59"/>
      <c r="B36" s="7" t="s">
        <v>69</v>
      </c>
      <c r="C36" s="7">
        <f>D36+'5月'!C36</f>
        <v>1240.2510000000004</v>
      </c>
      <c r="D36" s="7">
        <f t="shared" si="9"/>
        <v>221.40000000000012</v>
      </c>
      <c r="E36" s="33">
        <v>9.8000000000000007</v>
      </c>
      <c r="F36" s="33">
        <v>9.8000000000000007</v>
      </c>
      <c r="G36" s="33">
        <v>9.8000000000000007</v>
      </c>
      <c r="H36" s="33">
        <v>5</v>
      </c>
      <c r="I36" s="33">
        <v>5</v>
      </c>
      <c r="J36" s="33">
        <v>5</v>
      </c>
      <c r="K36" s="33">
        <v>5</v>
      </c>
      <c r="L36" s="33">
        <v>5</v>
      </c>
      <c r="M36" s="33">
        <v>5</v>
      </c>
      <c r="N36" s="33">
        <v>5</v>
      </c>
      <c r="O36" s="33">
        <v>5</v>
      </c>
      <c r="P36" s="33">
        <v>5.6</v>
      </c>
      <c r="Q36" s="33">
        <v>9.8000000000000007</v>
      </c>
      <c r="R36" s="33">
        <v>9.8000000000000007</v>
      </c>
      <c r="S36" s="33">
        <v>9.8000000000000007</v>
      </c>
      <c r="T36" s="33">
        <v>9.8000000000000007</v>
      </c>
      <c r="U36" s="33">
        <v>9.8000000000000007</v>
      </c>
      <c r="V36" s="33">
        <v>9.8000000000000007</v>
      </c>
      <c r="W36" s="33">
        <v>9.8000000000000007</v>
      </c>
      <c r="X36" s="33">
        <v>9.8000000000000007</v>
      </c>
      <c r="Y36" s="33">
        <v>6.8</v>
      </c>
      <c r="Z36" s="33">
        <v>6.8</v>
      </c>
      <c r="AA36" s="33">
        <v>6.8</v>
      </c>
      <c r="AB36" s="33">
        <v>6.8</v>
      </c>
      <c r="AC36" s="33">
        <v>6.8</v>
      </c>
      <c r="AD36" s="33">
        <v>6.8</v>
      </c>
      <c r="AE36" s="33">
        <v>6.8</v>
      </c>
      <c r="AF36" s="33">
        <v>6.8</v>
      </c>
      <c r="AG36" s="33">
        <v>6.8</v>
      </c>
      <c r="AH36" s="33">
        <v>6.8</v>
      </c>
      <c r="AI36" s="7"/>
    </row>
    <row r="37" spans="1:35" s="3" customFormat="1" ht="24.95" customHeight="1">
      <c r="A37" s="60"/>
      <c r="B37" s="7" t="s">
        <v>70</v>
      </c>
      <c r="C37" s="7">
        <f>D37+'5月'!C37</f>
        <v>56.047000000000011</v>
      </c>
      <c r="D37" s="7">
        <f t="shared" si="9"/>
        <v>9.2600000000000016</v>
      </c>
      <c r="E37" s="33">
        <v>0.38</v>
      </c>
      <c r="F37" s="33">
        <v>0.38</v>
      </c>
      <c r="G37" s="33">
        <v>0.38</v>
      </c>
      <c r="H37" s="33">
        <v>0.2</v>
      </c>
      <c r="I37" s="33">
        <v>0.2</v>
      </c>
      <c r="J37" s="33">
        <v>0.2</v>
      </c>
      <c r="K37" s="33">
        <v>0.2</v>
      </c>
      <c r="L37" s="33">
        <v>0.2</v>
      </c>
      <c r="M37" s="33">
        <v>0.2</v>
      </c>
      <c r="N37" s="33">
        <v>0.2</v>
      </c>
      <c r="O37" s="33">
        <v>0.2</v>
      </c>
      <c r="P37" s="33">
        <v>0.28000000000000003</v>
      </c>
      <c r="Q37" s="33">
        <v>0.38</v>
      </c>
      <c r="R37" s="33">
        <v>0.38</v>
      </c>
      <c r="S37" s="33">
        <v>0.38</v>
      </c>
      <c r="T37" s="33">
        <v>0.38</v>
      </c>
      <c r="U37" s="33">
        <v>0.38</v>
      </c>
      <c r="V37" s="33">
        <v>0.38</v>
      </c>
      <c r="W37" s="33">
        <v>0.38</v>
      </c>
      <c r="X37" s="33">
        <v>0.38</v>
      </c>
      <c r="Y37" s="33">
        <v>0.32</v>
      </c>
      <c r="Z37" s="33">
        <v>0.32</v>
      </c>
      <c r="AA37" s="33">
        <v>0.32</v>
      </c>
      <c r="AB37" s="33">
        <v>0.32</v>
      </c>
      <c r="AC37" s="33">
        <v>0.32</v>
      </c>
      <c r="AD37" s="33">
        <v>0.32</v>
      </c>
      <c r="AE37" s="33">
        <v>0.32</v>
      </c>
      <c r="AF37" s="33">
        <v>0.32</v>
      </c>
      <c r="AG37" s="33">
        <v>0.32</v>
      </c>
      <c r="AH37" s="33">
        <v>0.32</v>
      </c>
      <c r="AI37" s="7"/>
    </row>
    <row r="38" spans="1:35" s="1" customFormat="1" ht="18" customHeight="1">
      <c r="B38" s="22" t="s">
        <v>71</v>
      </c>
      <c r="C38" s="23">
        <f>C31/C5</f>
        <v>0.19492621841721558</v>
      </c>
      <c r="D38" s="23">
        <f>D31/D5</f>
        <v>0.18435112660685135</v>
      </c>
      <c r="G38" s="24"/>
    </row>
    <row r="39" spans="1:35" s="1" customFormat="1" ht="18" customHeight="1">
      <c r="B39" s="22" t="s">
        <v>72</v>
      </c>
      <c r="C39" s="23">
        <f>C32/C5</f>
        <v>2.4574541798154638E-2</v>
      </c>
      <c r="D39" s="23">
        <f>D32/D5</f>
        <v>2.8110603529036802E-2</v>
      </c>
      <c r="G39" s="24"/>
    </row>
    <row r="40" spans="1:35" s="1" customFormat="1" ht="18" customHeight="1">
      <c r="B40" s="22" t="s">
        <v>73</v>
      </c>
      <c r="C40" s="23">
        <f>C33/C5</f>
        <v>7.7268913922627636E-2</v>
      </c>
      <c r="D40" s="23">
        <f>D33/D5</f>
        <v>0.14627055948851175</v>
      </c>
      <c r="G40" s="24"/>
    </row>
    <row r="41" spans="1:35">
      <c r="G41" s="25"/>
    </row>
    <row r="42" spans="1:35">
      <c r="G42" s="25"/>
    </row>
    <row r="43" spans="1:35">
      <c r="G43" s="25"/>
    </row>
    <row r="44" spans="1:35">
      <c r="G44" s="25"/>
    </row>
    <row r="45" spans="1:35">
      <c r="G45" s="25"/>
    </row>
    <row r="46" spans="1:35">
      <c r="G46" s="25"/>
    </row>
    <row r="47" spans="1:35">
      <c r="G47" s="25"/>
    </row>
    <row r="48" spans="1:35">
      <c r="G48" s="25"/>
    </row>
    <row r="49" spans="7:7">
      <c r="G49" s="25"/>
    </row>
    <row r="50" spans="7:7">
      <c r="G50" s="25"/>
    </row>
    <row r="51" spans="7:7">
      <c r="G51" s="25"/>
    </row>
    <row r="52" spans="7:7">
      <c r="G52" s="25"/>
    </row>
    <row r="53" spans="7:7">
      <c r="G53" s="25"/>
    </row>
    <row r="54" spans="7:7">
      <c r="G54" s="25"/>
    </row>
    <row r="55" spans="7:7">
      <c r="G55" s="25"/>
    </row>
    <row r="56" spans="7:7">
      <c r="G56" s="25"/>
    </row>
    <row r="57" spans="7:7">
      <c r="G57" s="25"/>
    </row>
    <row r="58" spans="7:7">
      <c r="G58" s="25"/>
    </row>
    <row r="59" spans="7:7">
      <c r="G59" s="25"/>
    </row>
    <row r="60" spans="7:7">
      <c r="G60" s="25"/>
    </row>
    <row r="61" spans="7:7">
      <c r="G61" s="25"/>
    </row>
    <row r="62" spans="7:7">
      <c r="G62" s="25"/>
    </row>
    <row r="63" spans="7:7">
      <c r="G63" s="25"/>
    </row>
  </sheetData>
  <mergeCells count="10">
    <mergeCell ref="A35:A37"/>
    <mergeCell ref="A13:A15"/>
    <mergeCell ref="A16:A17"/>
    <mergeCell ref="A19:A29"/>
    <mergeCell ref="A31:A34"/>
    <mergeCell ref="A1:B1"/>
    <mergeCell ref="C1:AI1"/>
    <mergeCell ref="A3:A5"/>
    <mergeCell ref="A6:A8"/>
    <mergeCell ref="A9:A12"/>
  </mergeCells>
  <phoneticPr fontId="12" type="noConversion"/>
  <pageMargins left="0.69930555555555596" right="0.69930555555555596" top="0.75" bottom="0.75" header="0.3" footer="0.3"/>
  <pageSetup paperSize="8" scale="57" orientation="landscape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63"/>
  <sheetViews>
    <sheetView zoomScale="118" zoomScaleNormal="118" workbookViewId="0">
      <pane xSplit="4" topLeftCell="E1" activePane="topRight" state="frozen"/>
      <selection pane="topRight" activeCell="C1" sqref="C1:AI1"/>
    </sheetView>
  </sheetViews>
  <sheetFormatPr defaultColWidth="9" defaultRowHeight="13.5"/>
  <cols>
    <col min="1" max="1" width="8.75" style="4" customWidth="1"/>
    <col min="2" max="2" width="13.625" style="4" customWidth="1"/>
    <col min="3" max="3" width="13.25" style="4" customWidth="1"/>
    <col min="4" max="4" width="10.5" style="4" customWidth="1"/>
    <col min="5" max="6" width="9" style="4"/>
    <col min="7" max="12" width="9" style="4" customWidth="1"/>
    <col min="13" max="13" width="10.875" style="4" customWidth="1"/>
    <col min="14" max="16" width="9" style="4" customWidth="1"/>
    <col min="17" max="17" width="11" style="4" customWidth="1"/>
    <col min="18" max="31" width="9" style="4" customWidth="1"/>
    <col min="32" max="32" width="9" style="4"/>
    <col min="33" max="33" width="9" style="4" customWidth="1"/>
    <col min="34" max="34" width="8.375" style="4" customWidth="1"/>
    <col min="35" max="35" width="9" style="4" customWidth="1"/>
    <col min="36" max="16384" width="9" style="4"/>
  </cols>
  <sheetData>
    <row r="1" spans="1:35" s="1" customFormat="1" ht="42.75" customHeight="1">
      <c r="A1" s="53">
        <v>44378</v>
      </c>
      <c r="B1" s="54"/>
      <c r="C1" s="55" t="s">
        <v>0</v>
      </c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55"/>
      <c r="X1" s="55"/>
      <c r="Y1" s="55"/>
      <c r="Z1" s="55"/>
      <c r="AA1" s="55"/>
      <c r="AB1" s="55"/>
      <c r="AC1" s="55"/>
      <c r="AD1" s="55"/>
      <c r="AE1" s="55"/>
      <c r="AF1" s="55"/>
      <c r="AG1" s="55"/>
      <c r="AH1" s="55"/>
      <c r="AI1" s="55"/>
    </row>
    <row r="2" spans="1:35" s="2" customFormat="1" ht="24.95" customHeight="1">
      <c r="A2" s="5"/>
      <c r="B2" s="5" t="s">
        <v>1</v>
      </c>
      <c r="C2" s="5" t="s">
        <v>2</v>
      </c>
      <c r="D2" s="5" t="s">
        <v>3</v>
      </c>
      <c r="E2" s="5" t="s">
        <v>4</v>
      </c>
      <c r="F2" s="5" t="s">
        <v>5</v>
      </c>
      <c r="G2" s="5" t="s">
        <v>6</v>
      </c>
      <c r="H2" s="5" t="s">
        <v>7</v>
      </c>
      <c r="I2" s="5" t="s">
        <v>8</v>
      </c>
      <c r="J2" s="5" t="s">
        <v>9</v>
      </c>
      <c r="K2" s="5" t="s">
        <v>10</v>
      </c>
      <c r="L2" s="5" t="s">
        <v>11</v>
      </c>
      <c r="M2" s="5" t="s">
        <v>12</v>
      </c>
      <c r="N2" s="5" t="s">
        <v>13</v>
      </c>
      <c r="O2" s="5" t="s">
        <v>14</v>
      </c>
      <c r="P2" s="5" t="s">
        <v>15</v>
      </c>
      <c r="Q2" s="5" t="s">
        <v>16</v>
      </c>
      <c r="R2" s="5" t="s">
        <v>17</v>
      </c>
      <c r="S2" s="5" t="s">
        <v>18</v>
      </c>
      <c r="T2" s="5" t="s">
        <v>19</v>
      </c>
      <c r="U2" s="5" t="s">
        <v>20</v>
      </c>
      <c r="V2" s="5" t="s">
        <v>21</v>
      </c>
      <c r="W2" s="5" t="s">
        <v>22</v>
      </c>
      <c r="X2" s="5" t="s">
        <v>23</v>
      </c>
      <c r="Y2" s="5" t="s">
        <v>24</v>
      </c>
      <c r="Z2" s="5" t="s">
        <v>25</v>
      </c>
      <c r="AA2" s="5" t="s">
        <v>26</v>
      </c>
      <c r="AB2" s="5" t="s">
        <v>27</v>
      </c>
      <c r="AC2" s="5" t="s">
        <v>28</v>
      </c>
      <c r="AD2" s="5" t="s">
        <v>29</v>
      </c>
      <c r="AE2" s="5" t="s">
        <v>30</v>
      </c>
      <c r="AF2" s="5" t="s">
        <v>31</v>
      </c>
      <c r="AG2" s="5" t="s">
        <v>32</v>
      </c>
      <c r="AH2" s="5" t="s">
        <v>33</v>
      </c>
      <c r="AI2" s="5" t="s">
        <v>34</v>
      </c>
    </row>
    <row r="3" spans="1:35" s="3" customFormat="1" ht="25.5" customHeight="1">
      <c r="A3" s="56" t="s">
        <v>35</v>
      </c>
      <c r="B3" s="7" t="s">
        <v>36</v>
      </c>
      <c r="C3" s="7">
        <f>D3+'6月'!C3</f>
        <v>71995.099999999991</v>
      </c>
      <c r="D3" s="7">
        <f t="shared" ref="D3:D9" si="0">SUM(E3:AI3)</f>
        <v>11712.800000000001</v>
      </c>
      <c r="E3" s="7">
        <v>387.4</v>
      </c>
      <c r="F3" s="7">
        <v>407.6</v>
      </c>
      <c r="G3" s="7">
        <v>374.5</v>
      </c>
      <c r="H3" s="7">
        <v>387.3</v>
      </c>
      <c r="I3" s="7">
        <v>388.3</v>
      </c>
      <c r="J3" s="7">
        <v>377.3</v>
      </c>
      <c r="K3" s="7">
        <v>369.8</v>
      </c>
      <c r="L3" s="7">
        <v>387.2</v>
      </c>
      <c r="M3" s="7">
        <v>378.4</v>
      </c>
      <c r="N3" s="7">
        <v>409.6</v>
      </c>
      <c r="O3" s="7">
        <v>366.5</v>
      </c>
      <c r="P3" s="7">
        <v>367.2</v>
      </c>
      <c r="Q3" s="7">
        <v>381.7</v>
      </c>
      <c r="R3" s="7">
        <v>359.3</v>
      </c>
      <c r="S3" s="7">
        <v>390.7</v>
      </c>
      <c r="T3" s="7">
        <v>387.4</v>
      </c>
      <c r="U3" s="7">
        <v>384.5</v>
      </c>
      <c r="V3" s="7">
        <v>385.6</v>
      </c>
      <c r="W3" s="7">
        <v>389.1</v>
      </c>
      <c r="X3" s="7">
        <v>379</v>
      </c>
      <c r="Y3" s="7">
        <v>377.5</v>
      </c>
      <c r="Z3" s="7">
        <v>370.9</v>
      </c>
      <c r="AA3" s="7">
        <v>372.6</v>
      </c>
      <c r="AB3" s="7">
        <v>371.4</v>
      </c>
      <c r="AC3" s="7">
        <v>381.7</v>
      </c>
      <c r="AD3" s="7">
        <v>376.5</v>
      </c>
      <c r="AE3" s="7">
        <v>340.5</v>
      </c>
      <c r="AF3" s="7">
        <v>358.2</v>
      </c>
      <c r="AG3" s="7">
        <v>361.1</v>
      </c>
      <c r="AH3" s="7">
        <v>363.3</v>
      </c>
      <c r="AI3" s="30">
        <v>380.7</v>
      </c>
    </row>
    <row r="4" spans="1:35" s="3" customFormat="1" ht="26.25" customHeight="1">
      <c r="A4" s="56"/>
      <c r="B4" s="7" t="s">
        <v>37</v>
      </c>
      <c r="C4" s="7">
        <f>D4+'6月'!C4</f>
        <v>83566.400000000009</v>
      </c>
      <c r="D4" s="7">
        <f t="shared" si="0"/>
        <v>12372.8</v>
      </c>
      <c r="E4" s="7">
        <v>438</v>
      </c>
      <c r="F4" s="7">
        <v>431.3</v>
      </c>
      <c r="G4" s="7">
        <v>457.7</v>
      </c>
      <c r="H4" s="7">
        <v>418</v>
      </c>
      <c r="I4" s="7">
        <v>411</v>
      </c>
      <c r="J4" s="7">
        <v>0</v>
      </c>
      <c r="K4" s="7">
        <v>0</v>
      </c>
      <c r="L4" s="7">
        <v>270</v>
      </c>
      <c r="M4" s="7">
        <v>423.1</v>
      </c>
      <c r="N4" s="7">
        <v>450.8</v>
      </c>
      <c r="O4" s="7">
        <v>437.7</v>
      </c>
      <c r="P4" s="7">
        <v>430.6</v>
      </c>
      <c r="Q4" s="7">
        <v>445.4</v>
      </c>
      <c r="R4" s="7">
        <v>413.1</v>
      </c>
      <c r="S4" s="7">
        <v>421.9</v>
      </c>
      <c r="T4" s="7">
        <v>436.3</v>
      </c>
      <c r="U4" s="7">
        <v>439.7</v>
      </c>
      <c r="V4" s="7">
        <v>445.1</v>
      </c>
      <c r="W4" s="7">
        <v>435.3</v>
      </c>
      <c r="X4" s="7">
        <v>426.5</v>
      </c>
      <c r="Y4" s="7">
        <v>432.3</v>
      </c>
      <c r="Z4" s="7">
        <v>439.6</v>
      </c>
      <c r="AA4" s="7">
        <v>451.8</v>
      </c>
      <c r="AB4" s="7">
        <v>426</v>
      </c>
      <c r="AC4" s="7">
        <v>431.4</v>
      </c>
      <c r="AD4" s="7">
        <v>440.4</v>
      </c>
      <c r="AE4" s="7">
        <v>416</v>
      </c>
      <c r="AF4" s="7">
        <v>427.7</v>
      </c>
      <c r="AG4" s="7">
        <v>427.7</v>
      </c>
      <c r="AH4" s="30">
        <v>417.8</v>
      </c>
      <c r="AI4" s="7">
        <v>430.6</v>
      </c>
    </row>
    <row r="5" spans="1:35" s="3" customFormat="1" ht="24.95" customHeight="1">
      <c r="A5" s="56"/>
      <c r="B5" s="7" t="s">
        <v>38</v>
      </c>
      <c r="C5" s="7">
        <f>D5+'6月'!C5</f>
        <v>155561.50000000003</v>
      </c>
      <c r="D5" s="7">
        <f t="shared" si="0"/>
        <v>24085.600000000006</v>
      </c>
      <c r="E5" s="7">
        <f>E3+E4</f>
        <v>825.4</v>
      </c>
      <c r="F5" s="7">
        <f t="shared" ref="F5:AI5" si="1">F3+F4</f>
        <v>838.90000000000009</v>
      </c>
      <c r="G5" s="7">
        <f t="shared" si="1"/>
        <v>832.2</v>
      </c>
      <c r="H5" s="7">
        <f t="shared" si="1"/>
        <v>805.3</v>
      </c>
      <c r="I5" s="7">
        <f t="shared" si="1"/>
        <v>799.3</v>
      </c>
      <c r="J5" s="7">
        <f t="shared" si="1"/>
        <v>377.3</v>
      </c>
      <c r="K5" s="7">
        <f t="shared" si="1"/>
        <v>369.8</v>
      </c>
      <c r="L5" s="7">
        <f t="shared" si="1"/>
        <v>657.2</v>
      </c>
      <c r="M5" s="7">
        <f t="shared" si="1"/>
        <v>801.5</v>
      </c>
      <c r="N5" s="7">
        <f t="shared" si="1"/>
        <v>860.40000000000009</v>
      </c>
      <c r="O5" s="7">
        <f t="shared" si="1"/>
        <v>804.2</v>
      </c>
      <c r="P5" s="7">
        <f t="shared" si="1"/>
        <v>797.8</v>
      </c>
      <c r="Q5" s="7">
        <f t="shared" si="1"/>
        <v>827.09999999999991</v>
      </c>
      <c r="R5" s="7">
        <f t="shared" si="1"/>
        <v>772.40000000000009</v>
      </c>
      <c r="S5" s="7">
        <f t="shared" si="1"/>
        <v>812.59999999999991</v>
      </c>
      <c r="T5" s="7">
        <f t="shared" si="1"/>
        <v>823.7</v>
      </c>
      <c r="U5" s="7">
        <f t="shared" si="1"/>
        <v>824.2</v>
      </c>
      <c r="V5" s="7">
        <f t="shared" si="1"/>
        <v>830.7</v>
      </c>
      <c r="W5" s="7">
        <f t="shared" si="1"/>
        <v>824.40000000000009</v>
      </c>
      <c r="X5" s="7">
        <f t="shared" si="1"/>
        <v>805.5</v>
      </c>
      <c r="Y5" s="7">
        <f t="shared" si="1"/>
        <v>809.8</v>
      </c>
      <c r="Z5" s="7">
        <f t="shared" si="1"/>
        <v>810.5</v>
      </c>
      <c r="AA5" s="7">
        <f t="shared" si="1"/>
        <v>824.40000000000009</v>
      </c>
      <c r="AB5" s="7">
        <f t="shared" si="1"/>
        <v>797.4</v>
      </c>
      <c r="AC5" s="7">
        <f t="shared" si="1"/>
        <v>813.09999999999991</v>
      </c>
      <c r="AD5" s="7">
        <f t="shared" si="1"/>
        <v>816.9</v>
      </c>
      <c r="AE5" s="7">
        <f t="shared" si="1"/>
        <v>756.5</v>
      </c>
      <c r="AF5" s="7">
        <f t="shared" si="1"/>
        <v>785.9</v>
      </c>
      <c r="AG5" s="7">
        <f t="shared" si="1"/>
        <v>788.8</v>
      </c>
      <c r="AH5" s="7">
        <f t="shared" si="1"/>
        <v>781.1</v>
      </c>
      <c r="AI5" s="7">
        <f t="shared" si="1"/>
        <v>811.3</v>
      </c>
    </row>
    <row r="6" spans="1:35" s="3" customFormat="1" ht="24.95" customHeight="1">
      <c r="A6" s="56" t="s">
        <v>39</v>
      </c>
      <c r="B6" s="7" t="s">
        <v>40</v>
      </c>
      <c r="C6" s="7">
        <f>D6+'6月'!C6</f>
        <v>33644880</v>
      </c>
      <c r="D6" s="7">
        <f t="shared" si="0"/>
        <v>5483280</v>
      </c>
      <c r="E6" s="7">
        <v>176640</v>
      </c>
      <c r="F6" s="7">
        <v>176640</v>
      </c>
      <c r="G6" s="7">
        <v>180240</v>
      </c>
      <c r="H6" s="7">
        <v>186000</v>
      </c>
      <c r="I6" s="7">
        <v>185040</v>
      </c>
      <c r="J6" s="7">
        <v>156720</v>
      </c>
      <c r="K6" s="7">
        <v>160320</v>
      </c>
      <c r="L6" s="7">
        <v>157680</v>
      </c>
      <c r="M6" s="7">
        <v>178080</v>
      </c>
      <c r="N6" s="7">
        <v>178560</v>
      </c>
      <c r="O6" s="7">
        <v>180960</v>
      </c>
      <c r="P6" s="26">
        <v>185520</v>
      </c>
      <c r="Q6" s="7">
        <v>184800</v>
      </c>
      <c r="R6" s="7">
        <v>175680</v>
      </c>
      <c r="S6" s="7">
        <v>186960</v>
      </c>
      <c r="T6" s="7">
        <v>186960</v>
      </c>
      <c r="U6" s="26">
        <v>179040</v>
      </c>
      <c r="V6" s="7">
        <v>183360</v>
      </c>
      <c r="W6" s="7">
        <v>184080</v>
      </c>
      <c r="X6" s="7">
        <v>175920</v>
      </c>
      <c r="Y6" s="7">
        <v>171360</v>
      </c>
      <c r="Z6" s="7">
        <v>180240</v>
      </c>
      <c r="AA6" s="7">
        <v>173040</v>
      </c>
      <c r="AB6" s="7">
        <v>172560</v>
      </c>
      <c r="AC6" s="7">
        <v>182880</v>
      </c>
      <c r="AD6" s="7">
        <v>177840</v>
      </c>
      <c r="AE6" s="7">
        <v>158880</v>
      </c>
      <c r="AF6" s="7">
        <v>170640</v>
      </c>
      <c r="AG6" s="7">
        <v>174240</v>
      </c>
      <c r="AH6" s="7">
        <v>180720</v>
      </c>
      <c r="AI6" s="7">
        <v>181680</v>
      </c>
    </row>
    <row r="7" spans="1:35" s="3" customFormat="1" ht="24.95" customHeight="1">
      <c r="A7" s="56"/>
      <c r="B7" s="7" t="s">
        <v>41</v>
      </c>
      <c r="C7" s="7">
        <f>D7+'6月'!C7</f>
        <v>31379550</v>
      </c>
      <c r="D7" s="7">
        <f t="shared" si="0"/>
        <v>4385760</v>
      </c>
      <c r="E7" s="7">
        <v>153360</v>
      </c>
      <c r="F7" s="7">
        <v>149040</v>
      </c>
      <c r="G7" s="7">
        <v>155040</v>
      </c>
      <c r="H7" s="7">
        <v>167520</v>
      </c>
      <c r="I7" s="7">
        <v>149520</v>
      </c>
      <c r="J7" s="7">
        <v>0</v>
      </c>
      <c r="K7" s="7">
        <v>0</v>
      </c>
      <c r="L7" s="7">
        <v>84480</v>
      </c>
      <c r="M7" s="7">
        <v>149520</v>
      </c>
      <c r="N7" s="7">
        <v>158640</v>
      </c>
      <c r="O7" s="7">
        <v>155520</v>
      </c>
      <c r="P7" s="26">
        <v>162240</v>
      </c>
      <c r="Q7" s="7">
        <v>170400</v>
      </c>
      <c r="R7" s="7">
        <v>155760</v>
      </c>
      <c r="S7" s="7">
        <v>165360</v>
      </c>
      <c r="T7" s="7">
        <v>167040</v>
      </c>
      <c r="U7" s="7">
        <v>157200</v>
      </c>
      <c r="V7" s="7">
        <v>151440</v>
      </c>
      <c r="W7" s="7">
        <v>154080</v>
      </c>
      <c r="X7" s="7">
        <v>160320</v>
      </c>
      <c r="Y7" s="7">
        <v>143280</v>
      </c>
      <c r="Z7" s="7">
        <v>147360</v>
      </c>
      <c r="AA7" s="7">
        <v>154320</v>
      </c>
      <c r="AB7" s="7">
        <v>146640</v>
      </c>
      <c r="AC7" s="7">
        <v>152880</v>
      </c>
      <c r="AD7" s="7">
        <v>150240</v>
      </c>
      <c r="AE7" s="7">
        <v>131520</v>
      </c>
      <c r="AF7" s="7">
        <v>145920</v>
      </c>
      <c r="AG7" s="7">
        <v>143520</v>
      </c>
      <c r="AH7" s="7">
        <v>151680</v>
      </c>
      <c r="AI7" s="26">
        <v>151920</v>
      </c>
    </row>
    <row r="8" spans="1:35" s="3" customFormat="1" ht="24.75" customHeight="1">
      <c r="A8" s="56"/>
      <c r="B8" s="7" t="s">
        <v>38</v>
      </c>
      <c r="C8" s="7">
        <f>D8+'6月'!C8</f>
        <v>65024430</v>
      </c>
      <c r="D8" s="7">
        <f t="shared" si="0"/>
        <v>9869040</v>
      </c>
      <c r="E8" s="7">
        <f>E6+E7</f>
        <v>330000</v>
      </c>
      <c r="F8" s="7">
        <f t="shared" ref="F8:AH8" si="2">F6+F7</f>
        <v>325680</v>
      </c>
      <c r="G8" s="7">
        <f t="shared" si="2"/>
        <v>335280</v>
      </c>
      <c r="H8" s="7">
        <f t="shared" si="2"/>
        <v>353520</v>
      </c>
      <c r="I8" s="7">
        <f t="shared" si="2"/>
        <v>334560</v>
      </c>
      <c r="J8" s="7">
        <f t="shared" si="2"/>
        <v>156720</v>
      </c>
      <c r="K8" s="7">
        <f t="shared" si="2"/>
        <v>160320</v>
      </c>
      <c r="L8" s="7">
        <f t="shared" si="2"/>
        <v>242160</v>
      </c>
      <c r="M8" s="7">
        <f t="shared" si="2"/>
        <v>327600</v>
      </c>
      <c r="N8" s="7">
        <f t="shared" si="2"/>
        <v>337200</v>
      </c>
      <c r="O8" s="7">
        <f t="shared" si="2"/>
        <v>336480</v>
      </c>
      <c r="P8" s="7">
        <f t="shared" si="2"/>
        <v>347760</v>
      </c>
      <c r="Q8" s="7">
        <f t="shared" si="2"/>
        <v>355200</v>
      </c>
      <c r="R8" s="7">
        <f t="shared" si="2"/>
        <v>331440</v>
      </c>
      <c r="S8" s="7">
        <f t="shared" si="2"/>
        <v>352320</v>
      </c>
      <c r="T8" s="7">
        <f t="shared" si="2"/>
        <v>354000</v>
      </c>
      <c r="U8" s="7">
        <f t="shared" si="2"/>
        <v>336240</v>
      </c>
      <c r="V8" s="7">
        <f t="shared" si="2"/>
        <v>334800</v>
      </c>
      <c r="W8" s="7">
        <f t="shared" si="2"/>
        <v>338160</v>
      </c>
      <c r="X8" s="7">
        <f t="shared" si="2"/>
        <v>336240</v>
      </c>
      <c r="Y8" s="7">
        <f t="shared" si="2"/>
        <v>314640</v>
      </c>
      <c r="Z8" s="7">
        <f t="shared" si="2"/>
        <v>327600</v>
      </c>
      <c r="AA8" s="7">
        <f t="shared" si="2"/>
        <v>327360</v>
      </c>
      <c r="AB8" s="7">
        <f t="shared" si="2"/>
        <v>319200</v>
      </c>
      <c r="AC8" s="7">
        <f t="shared" si="2"/>
        <v>335760</v>
      </c>
      <c r="AD8" s="7">
        <f t="shared" si="2"/>
        <v>328080</v>
      </c>
      <c r="AE8" s="7">
        <f t="shared" si="2"/>
        <v>290400</v>
      </c>
      <c r="AF8" s="7">
        <f t="shared" si="2"/>
        <v>316560</v>
      </c>
      <c r="AG8" s="7">
        <f t="shared" si="2"/>
        <v>317760</v>
      </c>
      <c r="AH8" s="7">
        <f t="shared" si="2"/>
        <v>332400</v>
      </c>
      <c r="AI8" s="7">
        <f>SUM(AI6:AI7)</f>
        <v>333600</v>
      </c>
    </row>
    <row r="9" spans="1:35" s="3" customFormat="1" ht="24.95" customHeight="1">
      <c r="A9" s="56" t="s">
        <v>42</v>
      </c>
      <c r="B9" s="7" t="s">
        <v>38</v>
      </c>
      <c r="C9" s="7">
        <f>D9+'6月'!C9</f>
        <v>54693290</v>
      </c>
      <c r="D9" s="7">
        <f t="shared" si="0"/>
        <v>8269680</v>
      </c>
      <c r="E9" s="7">
        <v>276020</v>
      </c>
      <c r="F9" s="7">
        <v>274640</v>
      </c>
      <c r="G9" s="7">
        <v>279540</v>
      </c>
      <c r="H9" s="7">
        <v>297980</v>
      </c>
      <c r="I9" s="7">
        <v>279420</v>
      </c>
      <c r="J9" s="7">
        <v>120960</v>
      </c>
      <c r="K9" s="7">
        <v>123500</v>
      </c>
      <c r="L9" s="7">
        <v>195240</v>
      </c>
      <c r="M9" s="7">
        <v>275420</v>
      </c>
      <c r="N9" s="7">
        <v>285240</v>
      </c>
      <c r="O9" s="7">
        <v>287080</v>
      </c>
      <c r="P9" s="7">
        <v>294980</v>
      </c>
      <c r="Q9" s="7">
        <v>303760</v>
      </c>
      <c r="R9" s="7">
        <v>279900</v>
      </c>
      <c r="S9" s="7">
        <v>300920</v>
      </c>
      <c r="T9" s="7">
        <v>298940</v>
      </c>
      <c r="U9" s="7">
        <v>282840</v>
      </c>
      <c r="V9" s="7">
        <v>283120</v>
      </c>
      <c r="W9" s="7">
        <v>284020</v>
      </c>
      <c r="X9" s="7">
        <v>281360</v>
      </c>
      <c r="Y9" s="7">
        <v>263220</v>
      </c>
      <c r="Z9" s="7">
        <v>275820</v>
      </c>
      <c r="AA9" s="7">
        <v>275100</v>
      </c>
      <c r="AB9" s="7">
        <v>269820</v>
      </c>
      <c r="AC9" s="7">
        <v>280600</v>
      </c>
      <c r="AD9" s="7">
        <v>274340</v>
      </c>
      <c r="AE9" s="7">
        <v>235240</v>
      </c>
      <c r="AF9" s="7">
        <v>261980</v>
      </c>
      <c r="AG9" s="7">
        <v>265620</v>
      </c>
      <c r="AH9" s="7">
        <v>281700</v>
      </c>
      <c r="AI9" s="7">
        <v>281360</v>
      </c>
    </row>
    <row r="10" spans="1:35" s="3" customFormat="1" ht="24.95" customHeight="1">
      <c r="A10" s="56"/>
      <c r="B10" s="6" t="s">
        <v>43</v>
      </c>
      <c r="C10" s="8">
        <f>SUM(C8/C5)</f>
        <v>417.99821935376031</v>
      </c>
      <c r="D10" s="8">
        <f t="shared" ref="D10:AI10" si="3">SUM(D8/D5)</f>
        <v>409.74856345700323</v>
      </c>
      <c r="E10" s="8">
        <f t="shared" si="3"/>
        <v>399.8061545917131</v>
      </c>
      <c r="F10" s="8">
        <f t="shared" si="3"/>
        <v>388.22267254738341</v>
      </c>
      <c r="G10" s="8">
        <f t="shared" si="3"/>
        <v>402.88392213410236</v>
      </c>
      <c r="H10" s="8">
        <f t="shared" si="3"/>
        <v>438.99168011921023</v>
      </c>
      <c r="I10" s="8">
        <f t="shared" si="3"/>
        <v>418.56624546478173</v>
      </c>
      <c r="J10" s="8">
        <f t="shared" si="3"/>
        <v>415.37238271932148</v>
      </c>
      <c r="K10" s="8">
        <f t="shared" si="3"/>
        <v>433.53163872363439</v>
      </c>
      <c r="L10" s="8">
        <f t="shared" si="3"/>
        <v>368.47230675593426</v>
      </c>
      <c r="M10" s="8">
        <f t="shared" si="3"/>
        <v>408.73362445414847</v>
      </c>
      <c r="N10" s="8">
        <f t="shared" si="3"/>
        <v>391.9107391910739</v>
      </c>
      <c r="O10" s="8">
        <f t="shared" si="3"/>
        <v>418.40338224322306</v>
      </c>
      <c r="P10" s="8">
        <f t="shared" si="3"/>
        <v>435.89872148408125</v>
      </c>
      <c r="Q10" s="8">
        <f t="shared" si="3"/>
        <v>429.4523032281466</v>
      </c>
      <c r="R10" s="8">
        <f t="shared" si="3"/>
        <v>429.1040911444847</v>
      </c>
      <c r="S10" s="8">
        <f t="shared" si="3"/>
        <v>433.57125276889002</v>
      </c>
      <c r="T10" s="8">
        <f t="shared" si="3"/>
        <v>429.76811946096876</v>
      </c>
      <c r="U10" s="8">
        <f t="shared" si="3"/>
        <v>407.95923319582624</v>
      </c>
      <c r="V10" s="8">
        <f t="shared" si="3"/>
        <v>403.03358613217767</v>
      </c>
      <c r="W10" s="8">
        <f t="shared" si="3"/>
        <v>410.18922852983985</v>
      </c>
      <c r="X10" s="8">
        <f t="shared" si="3"/>
        <v>417.43016759776538</v>
      </c>
      <c r="Y10" s="8">
        <f t="shared" si="3"/>
        <v>388.54038034082492</v>
      </c>
      <c r="Z10" s="8">
        <f t="shared" si="3"/>
        <v>404.19494139420112</v>
      </c>
      <c r="AA10" s="8">
        <f t="shared" si="3"/>
        <v>397.08879184861712</v>
      </c>
      <c r="AB10" s="8">
        <f t="shared" si="3"/>
        <v>400.30097817908205</v>
      </c>
      <c r="AC10" s="8">
        <f t="shared" si="3"/>
        <v>412.93813799040714</v>
      </c>
      <c r="AD10" s="8">
        <f t="shared" si="3"/>
        <v>401.61586485493939</v>
      </c>
      <c r="AE10" s="8">
        <f t="shared" si="3"/>
        <v>383.87309980171847</v>
      </c>
      <c r="AF10" s="8">
        <f t="shared" si="3"/>
        <v>402.79933833821099</v>
      </c>
      <c r="AG10" s="8">
        <f t="shared" si="3"/>
        <v>402.83975659229213</v>
      </c>
      <c r="AH10" s="8">
        <f t="shared" si="3"/>
        <v>425.55370631161179</v>
      </c>
      <c r="AI10" s="8">
        <f t="shared" si="3"/>
        <v>411.19191421175896</v>
      </c>
    </row>
    <row r="11" spans="1:35" s="3" customFormat="1" ht="24.95" customHeight="1">
      <c r="A11" s="56"/>
      <c r="B11" s="9" t="s">
        <v>44</v>
      </c>
      <c r="C11" s="8">
        <f>(C8-C16)/C5</f>
        <v>351.67628237063792</v>
      </c>
      <c r="D11" s="8">
        <f>(D8-D16)/D5</f>
        <v>343.34540140166729</v>
      </c>
      <c r="E11" s="8">
        <f>(E8-E16)/E5</f>
        <v>334.40755997092322</v>
      </c>
      <c r="F11" s="8">
        <f>(F8-F16)/F5</f>
        <v>327.38109429014179</v>
      </c>
      <c r="G11" s="8">
        <f>(G8-G16)/G5</f>
        <v>335.90483056957459</v>
      </c>
      <c r="H11" s="8">
        <f>(H8-H16)/H5</f>
        <v>370.02359369179192</v>
      </c>
      <c r="I11" s="8">
        <f>(I8-I16)/I5</f>
        <v>349.58088327286379</v>
      </c>
      <c r="J11" s="8">
        <f>(J8-J16)/J5</f>
        <v>320.59369202226344</v>
      </c>
      <c r="K11" s="8">
        <f>(K8-K16)/K5</f>
        <v>333.96430502974579</v>
      </c>
      <c r="L11" s="8">
        <f>(L8-L16)/L5</f>
        <v>297.07851491174677</v>
      </c>
      <c r="M11" s="8">
        <f>(M8-M16)/M5</f>
        <v>343.63069245165315</v>
      </c>
      <c r="N11" s="8">
        <f>(N8-N16)/N5</f>
        <v>331.52022315202225</v>
      </c>
      <c r="O11" s="8">
        <f>(O8-O16)/O5</f>
        <v>356.9758766476001</v>
      </c>
      <c r="P11" s="8">
        <f>(P8-P16)/P5</f>
        <v>369.74178992228633</v>
      </c>
      <c r="Q11" s="8">
        <f>(Q8-Q16)/Q5</f>
        <v>367.25909805343974</v>
      </c>
      <c r="R11" s="8">
        <f>(R8-R16)/R5</f>
        <v>362.37700673226306</v>
      </c>
      <c r="S11" s="8">
        <f>(S8-S16)/S5</f>
        <v>370.31749938469113</v>
      </c>
      <c r="T11" s="8">
        <f>(T8-T16)/T5</f>
        <v>362.92339443972315</v>
      </c>
      <c r="U11" s="8">
        <f>(U8-U16)/U5</f>
        <v>343.1691337054113</v>
      </c>
      <c r="V11" s="8">
        <f>(V8-V16)/V5</f>
        <v>340.82099434212108</v>
      </c>
      <c r="W11" s="8">
        <f>(W8-W16)/W5</f>
        <v>344.51722464822899</v>
      </c>
      <c r="X11" s="8">
        <f>(X8-X16)/X5</f>
        <v>349.29857231533208</v>
      </c>
      <c r="Y11" s="8">
        <f>(Y8-Y16)/Y5</f>
        <v>325.04322054828356</v>
      </c>
      <c r="Z11" s="8">
        <f>(Z8-Z16)/Z5</f>
        <v>340.30845157310301</v>
      </c>
      <c r="AA11" s="8">
        <f>(AA8-AA16)/AA5</f>
        <v>333.69723435225615</v>
      </c>
      <c r="AB11" s="8">
        <f>(AB8-AB16)/AB5</f>
        <v>338.37471783295712</v>
      </c>
      <c r="AC11" s="8">
        <f>(AC8-AC16)/AC5</f>
        <v>345.09900381256921</v>
      </c>
      <c r="AD11" s="8">
        <f>(AD8-AD16)/AD5</f>
        <v>335.83057901823969</v>
      </c>
      <c r="AE11" s="8">
        <f>(AE8-AE16)/AE5</f>
        <v>310.95836087243885</v>
      </c>
      <c r="AF11" s="8">
        <f>(AF8-AF16)/AF5</f>
        <v>333.3502990202316</v>
      </c>
      <c r="AG11" s="8">
        <f>(AG8-AG16)/AG5</f>
        <v>336.73935091277895</v>
      </c>
      <c r="AH11" s="8">
        <f>(AH8-AH16)/AH5</f>
        <v>360.64524388682628</v>
      </c>
      <c r="AI11" s="8">
        <f>(AI8-AI16)/AI5</f>
        <v>346.80142980401826</v>
      </c>
    </row>
    <row r="12" spans="1:35" s="3" customFormat="1" ht="24.95" customHeight="1">
      <c r="A12" s="56"/>
      <c r="B12" s="6" t="s">
        <v>45</v>
      </c>
      <c r="C12" s="8">
        <f>D12+'6月'!C12</f>
        <v>162786.67999999996</v>
      </c>
      <c r="D12" s="8">
        <f t="shared" ref="D12:D16" si="4">SUM(E12:AI12)</f>
        <v>25288.12</v>
      </c>
      <c r="E12" s="7">
        <v>769.34</v>
      </c>
      <c r="F12" s="7">
        <v>656.36</v>
      </c>
      <c r="G12" s="7">
        <v>809.76</v>
      </c>
      <c r="H12" s="7">
        <v>807.24</v>
      </c>
      <c r="I12" s="7">
        <v>930.46</v>
      </c>
      <c r="J12" s="7">
        <v>846.02</v>
      </c>
      <c r="K12" s="7">
        <v>780.58</v>
      </c>
      <c r="L12" s="7">
        <v>899.98</v>
      </c>
      <c r="M12" s="7">
        <v>954.08</v>
      </c>
      <c r="N12" s="7">
        <v>782.54</v>
      </c>
      <c r="O12" s="7">
        <v>820.4</v>
      </c>
      <c r="P12" s="7">
        <v>771.34</v>
      </c>
      <c r="Q12" s="7">
        <v>815.04</v>
      </c>
      <c r="R12" s="7">
        <v>776.28</v>
      </c>
      <c r="S12" s="7">
        <v>779.5</v>
      </c>
      <c r="T12" s="7">
        <v>691.56</v>
      </c>
      <c r="U12" s="7">
        <v>835.74</v>
      </c>
      <c r="V12" s="7">
        <v>873.52</v>
      </c>
      <c r="W12" s="7">
        <v>849.1</v>
      </c>
      <c r="X12" s="7">
        <v>863.3</v>
      </c>
      <c r="Y12" s="7">
        <v>845.1</v>
      </c>
      <c r="Z12" s="7">
        <v>835.84</v>
      </c>
      <c r="AA12" s="7">
        <v>806.68</v>
      </c>
      <c r="AB12" s="7">
        <v>805.14</v>
      </c>
      <c r="AC12" s="7">
        <v>821.38</v>
      </c>
      <c r="AD12" s="12">
        <v>756.8</v>
      </c>
      <c r="AE12" s="7">
        <v>822.08</v>
      </c>
      <c r="AF12" s="7">
        <v>834.46</v>
      </c>
      <c r="AG12" s="7">
        <v>769.86</v>
      </c>
      <c r="AH12" s="12">
        <v>816.3</v>
      </c>
      <c r="AI12" s="7">
        <v>862.34</v>
      </c>
    </row>
    <row r="13" spans="1:35" s="3" customFormat="1" ht="24.75" customHeight="1">
      <c r="A13" s="58" t="s">
        <v>46</v>
      </c>
      <c r="B13" s="6" t="s">
        <v>36</v>
      </c>
      <c r="C13" s="8">
        <f>D13+'6月'!C13</f>
        <v>183789</v>
      </c>
      <c r="D13" s="10">
        <f t="shared" si="4"/>
        <v>30287</v>
      </c>
      <c r="E13" s="7">
        <f>335+341+318</f>
        <v>994</v>
      </c>
      <c r="F13" s="7">
        <f>338+280+334</f>
        <v>952</v>
      </c>
      <c r="G13" s="7">
        <f>300+327+379</f>
        <v>1006</v>
      </c>
      <c r="H13" s="7">
        <f>331+367+384</f>
        <v>1082</v>
      </c>
      <c r="I13" s="7">
        <f>351+367+325</f>
        <v>1043</v>
      </c>
      <c r="J13" s="7">
        <f>349+305+315</f>
        <v>969</v>
      </c>
      <c r="K13" s="7">
        <f>330+335+340</f>
        <v>1005</v>
      </c>
      <c r="L13" s="7">
        <f>276+346+271</f>
        <v>893</v>
      </c>
      <c r="M13" s="20">
        <f>297+346+327</f>
        <v>970</v>
      </c>
      <c r="N13" s="7">
        <f>323+312+339</f>
        <v>974</v>
      </c>
      <c r="O13" s="7">
        <f>319+308+309</f>
        <v>936</v>
      </c>
      <c r="P13" s="20">
        <f>323+334+322</f>
        <v>979</v>
      </c>
      <c r="Q13" s="7">
        <f>326+336+327</f>
        <v>989</v>
      </c>
      <c r="R13" s="7">
        <f>320+283+332</f>
        <v>935</v>
      </c>
      <c r="S13" s="7">
        <f>361+324+354</f>
        <v>1039</v>
      </c>
      <c r="T13" s="7">
        <f>352+360+353</f>
        <v>1065</v>
      </c>
      <c r="U13" s="7">
        <f>344+333+322</f>
        <v>999</v>
      </c>
      <c r="V13" s="7">
        <f>315+324+333</f>
        <v>972</v>
      </c>
      <c r="W13" s="7">
        <f>348+314+356</f>
        <v>1018</v>
      </c>
      <c r="X13" s="7">
        <f>326+330+332</f>
        <v>988</v>
      </c>
      <c r="Y13" s="7">
        <f>312+303+273</f>
        <v>888</v>
      </c>
      <c r="Z13" s="7">
        <f>339+290+300</f>
        <v>929</v>
      </c>
      <c r="AA13" s="7">
        <f>323+302+331</f>
        <v>956</v>
      </c>
      <c r="AB13" s="7">
        <f>299+337+317</f>
        <v>953</v>
      </c>
      <c r="AC13" s="7">
        <f>302+369+322</f>
        <v>993</v>
      </c>
      <c r="AD13" s="7">
        <f>335+316+322</f>
        <v>973</v>
      </c>
      <c r="AE13" s="7">
        <f>293+291+291</f>
        <v>875</v>
      </c>
      <c r="AF13" s="7">
        <f>279+344+329</f>
        <v>952</v>
      </c>
      <c r="AG13" s="7">
        <f>297+345+308</f>
        <v>950</v>
      </c>
      <c r="AH13" s="7">
        <f>358+306+341</f>
        <v>1005</v>
      </c>
      <c r="AI13" s="7">
        <f>356+321+328</f>
        <v>1005</v>
      </c>
    </row>
    <row r="14" spans="1:35" s="3" customFormat="1" ht="25.5" customHeight="1">
      <c r="A14" s="59"/>
      <c r="B14" s="6" t="s">
        <v>37</v>
      </c>
      <c r="C14" s="8">
        <f>D14+'6月'!C14</f>
        <v>213271</v>
      </c>
      <c r="D14" s="10">
        <f t="shared" si="4"/>
        <v>31893</v>
      </c>
      <c r="E14" s="7">
        <f>350+341+364</f>
        <v>1055</v>
      </c>
      <c r="F14" s="7">
        <f>353+350+398</f>
        <v>1101</v>
      </c>
      <c r="G14" s="7">
        <f>347+361+382</f>
        <v>1090</v>
      </c>
      <c r="H14" s="7">
        <f>368+380+363</f>
        <v>1111</v>
      </c>
      <c r="I14" s="7">
        <f>371+377+286</f>
        <v>1034</v>
      </c>
      <c r="J14" s="7">
        <v>0</v>
      </c>
      <c r="K14" s="7">
        <v>0</v>
      </c>
      <c r="L14" s="7">
        <f>381+252</f>
        <v>633</v>
      </c>
      <c r="M14" s="20">
        <f>359+349+374</f>
        <v>1082</v>
      </c>
      <c r="N14" s="7">
        <f>382+366+410</f>
        <v>1158</v>
      </c>
      <c r="O14" s="7">
        <f>383+381+377</f>
        <v>1141</v>
      </c>
      <c r="P14" s="20">
        <f>425+380+360</f>
        <v>1165</v>
      </c>
      <c r="Q14" s="7">
        <f>395+395+390</f>
        <v>1180</v>
      </c>
      <c r="R14" s="7">
        <f>380+377+358</f>
        <v>1115</v>
      </c>
      <c r="S14" s="7">
        <f>362+377+405</f>
        <v>1144</v>
      </c>
      <c r="T14" s="7">
        <f>387+372+373</f>
        <v>1132</v>
      </c>
      <c r="U14" s="7">
        <f>388+355+364</f>
        <v>1107</v>
      </c>
      <c r="V14" s="7">
        <f>385+359+383</f>
        <v>1127</v>
      </c>
      <c r="W14" s="7">
        <f>403+363+361</f>
        <v>1127</v>
      </c>
      <c r="X14" s="7">
        <f>388+376+351</f>
        <v>1115</v>
      </c>
      <c r="Y14" s="7">
        <f>373+379+326</f>
        <v>1078</v>
      </c>
      <c r="Z14" s="7">
        <f>364+353+369</f>
        <v>1086</v>
      </c>
      <c r="AA14" s="7">
        <f>367+366+401</f>
        <v>1134</v>
      </c>
      <c r="AB14" s="7">
        <f>363+362+369</f>
        <v>1094</v>
      </c>
      <c r="AC14" s="7">
        <f>362+369+392</f>
        <v>1123</v>
      </c>
      <c r="AD14" s="7">
        <f>380+368+403</f>
        <v>1151</v>
      </c>
      <c r="AE14" s="7">
        <f>374+330+380</f>
        <v>1084</v>
      </c>
      <c r="AF14" s="7">
        <f>373+390+350</f>
        <v>1113</v>
      </c>
      <c r="AG14" s="7">
        <f>378+382+381</f>
        <v>1141</v>
      </c>
      <c r="AH14" s="7">
        <f>369+361+394</f>
        <v>1124</v>
      </c>
      <c r="AI14" s="7">
        <f>377+391+380</f>
        <v>1148</v>
      </c>
    </row>
    <row r="15" spans="1:35" s="3" customFormat="1" ht="24" customHeight="1">
      <c r="A15" s="60"/>
      <c r="B15" s="7" t="s">
        <v>38</v>
      </c>
      <c r="C15" s="8">
        <f>D15+'6月'!C15</f>
        <v>397060</v>
      </c>
      <c r="D15" s="7">
        <f t="shared" si="4"/>
        <v>62180</v>
      </c>
      <c r="E15" s="7">
        <f>E13+E14</f>
        <v>2049</v>
      </c>
      <c r="F15" s="7">
        <f t="shared" ref="F15:AI15" si="5">F13+F14</f>
        <v>2053</v>
      </c>
      <c r="G15" s="7">
        <f t="shared" si="5"/>
        <v>2096</v>
      </c>
      <c r="H15" s="7">
        <f t="shared" si="5"/>
        <v>2193</v>
      </c>
      <c r="I15" s="7">
        <f t="shared" si="5"/>
        <v>2077</v>
      </c>
      <c r="J15" s="7">
        <f t="shared" si="5"/>
        <v>969</v>
      </c>
      <c r="K15" s="7">
        <f t="shared" si="5"/>
        <v>1005</v>
      </c>
      <c r="L15" s="7">
        <f t="shared" si="5"/>
        <v>1526</v>
      </c>
      <c r="M15" s="7">
        <f t="shared" si="5"/>
        <v>2052</v>
      </c>
      <c r="N15" s="7">
        <f t="shared" si="5"/>
        <v>2132</v>
      </c>
      <c r="O15" s="7">
        <f t="shared" si="5"/>
        <v>2077</v>
      </c>
      <c r="P15" s="7">
        <f t="shared" si="5"/>
        <v>2144</v>
      </c>
      <c r="Q15" s="7">
        <f t="shared" si="5"/>
        <v>2169</v>
      </c>
      <c r="R15" s="7">
        <f t="shared" si="5"/>
        <v>2050</v>
      </c>
      <c r="S15" s="7">
        <f t="shared" si="5"/>
        <v>2183</v>
      </c>
      <c r="T15" s="7">
        <f t="shared" si="5"/>
        <v>2197</v>
      </c>
      <c r="U15" s="7">
        <f t="shared" si="5"/>
        <v>2106</v>
      </c>
      <c r="V15" s="7">
        <f t="shared" si="5"/>
        <v>2099</v>
      </c>
      <c r="W15" s="7">
        <f t="shared" si="5"/>
        <v>2145</v>
      </c>
      <c r="X15" s="7">
        <f t="shared" si="5"/>
        <v>2103</v>
      </c>
      <c r="Y15" s="7">
        <f t="shared" si="5"/>
        <v>1966</v>
      </c>
      <c r="Z15" s="7">
        <f t="shared" si="5"/>
        <v>2015</v>
      </c>
      <c r="AA15" s="7">
        <f t="shared" si="5"/>
        <v>2090</v>
      </c>
      <c r="AB15" s="7">
        <f t="shared" si="5"/>
        <v>2047</v>
      </c>
      <c r="AC15" s="7">
        <f t="shared" si="5"/>
        <v>2116</v>
      </c>
      <c r="AD15" s="7">
        <f t="shared" si="5"/>
        <v>2124</v>
      </c>
      <c r="AE15" s="7">
        <f t="shared" si="5"/>
        <v>1959</v>
      </c>
      <c r="AF15" s="7">
        <f t="shared" si="5"/>
        <v>2065</v>
      </c>
      <c r="AG15" s="7">
        <f t="shared" si="5"/>
        <v>2091</v>
      </c>
      <c r="AH15" s="7">
        <f t="shared" si="5"/>
        <v>2129</v>
      </c>
      <c r="AI15" s="7">
        <f t="shared" si="5"/>
        <v>2153</v>
      </c>
    </row>
    <row r="16" spans="1:35" s="3" customFormat="1" ht="24.75" customHeight="1">
      <c r="A16" s="56" t="s">
        <v>47</v>
      </c>
      <c r="B16" s="7" t="s">
        <v>38</v>
      </c>
      <c r="C16" s="8">
        <f>D16+'6月'!C16</f>
        <v>10317140</v>
      </c>
      <c r="D16" s="7">
        <f t="shared" si="4"/>
        <v>1599360</v>
      </c>
      <c r="E16" s="7">
        <v>53980</v>
      </c>
      <c r="F16" s="7">
        <v>51040</v>
      </c>
      <c r="G16" s="7">
        <v>55740</v>
      </c>
      <c r="H16" s="7">
        <v>55540</v>
      </c>
      <c r="I16" s="7">
        <v>55140</v>
      </c>
      <c r="J16" s="7">
        <v>35760</v>
      </c>
      <c r="K16" s="7">
        <v>36820</v>
      </c>
      <c r="L16" s="7">
        <v>46920</v>
      </c>
      <c r="M16" s="7">
        <v>52180</v>
      </c>
      <c r="N16" s="7">
        <v>51960</v>
      </c>
      <c r="O16" s="7">
        <v>49400</v>
      </c>
      <c r="P16" s="7">
        <v>52780</v>
      </c>
      <c r="Q16" s="7">
        <v>51440</v>
      </c>
      <c r="R16" s="7">
        <v>51540</v>
      </c>
      <c r="S16" s="7">
        <v>51400</v>
      </c>
      <c r="T16" s="7">
        <v>55060</v>
      </c>
      <c r="U16" s="7">
        <v>53400</v>
      </c>
      <c r="V16" s="7">
        <v>51680</v>
      </c>
      <c r="W16" s="7">
        <v>54140</v>
      </c>
      <c r="X16" s="7">
        <v>54880</v>
      </c>
      <c r="Y16" s="7">
        <v>51420</v>
      </c>
      <c r="Z16" s="7">
        <v>51780</v>
      </c>
      <c r="AA16" s="7">
        <v>52260</v>
      </c>
      <c r="AB16" s="7">
        <v>49380</v>
      </c>
      <c r="AC16" s="7">
        <v>55160</v>
      </c>
      <c r="AD16" s="7">
        <v>53740</v>
      </c>
      <c r="AE16" s="7">
        <v>55160</v>
      </c>
      <c r="AF16" s="7">
        <v>54580</v>
      </c>
      <c r="AG16" s="7">
        <v>52140</v>
      </c>
      <c r="AH16" s="7">
        <v>50700</v>
      </c>
      <c r="AI16" s="7">
        <v>52240</v>
      </c>
    </row>
    <row r="17" spans="1:35" s="3" customFormat="1" ht="24.95" customHeight="1">
      <c r="A17" s="56"/>
      <c r="B17" s="6" t="s">
        <v>48</v>
      </c>
      <c r="C17" s="11">
        <f>SUM(C16/C8)</f>
        <v>0.15866559691488261</v>
      </c>
      <c r="D17" s="11">
        <f>SUM(D16/D8)</f>
        <v>0.16205831570243914</v>
      </c>
      <c r="E17" s="11">
        <f>SUM(E16/E8)</f>
        <v>0.16357575757575757</v>
      </c>
      <c r="F17" s="11">
        <f>SUM(F16/F8)</f>
        <v>0.15671825104396955</v>
      </c>
      <c r="G17" s="11">
        <f>SUM(G16/G8)</f>
        <v>0.16624910522548317</v>
      </c>
      <c r="H17" s="11">
        <f>SUM(H16/H8)</f>
        <v>0.15710568001810366</v>
      </c>
      <c r="I17" s="11">
        <f>SUM(I16/I8)</f>
        <v>0.16481348637015783</v>
      </c>
      <c r="J17" s="11">
        <f>SUM(J16/J8)</f>
        <v>0.22817764165390506</v>
      </c>
      <c r="K17" s="11">
        <f>SUM(K16/K8)</f>
        <v>0.22966566866267465</v>
      </c>
      <c r="L17" s="11">
        <f>SUM(L16/L8)</f>
        <v>0.1937561942517344</v>
      </c>
      <c r="M17" s="11">
        <f>SUM(M16/M8)</f>
        <v>0.15927960927960927</v>
      </c>
      <c r="N17" s="11">
        <f>SUM(N16/N8)</f>
        <v>0.15409252669039145</v>
      </c>
      <c r="O17" s="11">
        <f>SUM(O16/O8)</f>
        <v>0.14681407513076558</v>
      </c>
      <c r="P17" s="11">
        <f>SUM(P16/P8)</f>
        <v>0.15177133655394526</v>
      </c>
      <c r="Q17" s="11">
        <f>SUM(Q16/Q8)</f>
        <v>0.14481981981981981</v>
      </c>
      <c r="R17" s="11">
        <f>SUM(R16/R8)</f>
        <v>0.1555032585083273</v>
      </c>
      <c r="S17" s="11">
        <f>SUM(S16/S8)</f>
        <v>0.14589009990917348</v>
      </c>
      <c r="T17" s="11">
        <f>SUM(T16/T8)</f>
        <v>0.15553672316384182</v>
      </c>
      <c r="U17" s="11">
        <f>SUM(U16/U8)</f>
        <v>0.15881513204853676</v>
      </c>
      <c r="V17" s="11">
        <f>SUM(V16/V8)</f>
        <v>0.15436081242532856</v>
      </c>
      <c r="W17" s="11">
        <f>SUM(W16/W8)</f>
        <v>0.16010172699313935</v>
      </c>
      <c r="X17" s="11">
        <f>SUM(X16/X8)</f>
        <v>0.16321674994051869</v>
      </c>
      <c r="Y17" s="11">
        <f>SUM(Y16/Y8)</f>
        <v>0.16342486651411137</v>
      </c>
      <c r="Z17" s="11">
        <f>SUM(Z16/Z8)</f>
        <v>0.15805860805860805</v>
      </c>
      <c r="AA17" s="11">
        <f>SUM(AA16/AA8)</f>
        <v>0.15964076246334311</v>
      </c>
      <c r="AB17" s="11">
        <f>SUM(AB16/AB8)</f>
        <v>0.15469924812030075</v>
      </c>
      <c r="AC17" s="11">
        <f>SUM(AC16/AC8)</f>
        <v>0.16428401238980225</v>
      </c>
      <c r="AD17" s="11">
        <f>SUM(AD16/AD8)</f>
        <v>0.16380151182638381</v>
      </c>
      <c r="AE17" s="11">
        <f>SUM(AE16/AE8)</f>
        <v>0.18994490358126723</v>
      </c>
      <c r="AF17" s="11">
        <f>SUM(AF16/AF8)</f>
        <v>0.17241597169572909</v>
      </c>
      <c r="AG17" s="11">
        <f>SUM(AG16/AG8)</f>
        <v>0.16408610271903323</v>
      </c>
      <c r="AH17" s="11">
        <f>SUM(AH16/AH8)</f>
        <v>0.15252707581227437</v>
      </c>
      <c r="AI17" s="11">
        <f>SUM(AI16/AI8)</f>
        <v>0.15659472422062351</v>
      </c>
    </row>
    <row r="18" spans="1:35" s="3" customFormat="1" ht="24.95" customHeight="1">
      <c r="A18" s="13"/>
      <c r="B18" s="13" t="s">
        <v>49</v>
      </c>
      <c r="C18" s="7">
        <f>D18+'6月'!C18</f>
        <v>31</v>
      </c>
      <c r="D18" s="7">
        <f>COUNT(E18:AI18)</f>
        <v>31</v>
      </c>
      <c r="E18" s="14">
        <v>3400</v>
      </c>
      <c r="F18" s="14">
        <v>3200</v>
      </c>
      <c r="G18" s="14">
        <v>3100</v>
      </c>
      <c r="H18" s="14">
        <v>2800</v>
      </c>
      <c r="I18" s="14">
        <v>2700</v>
      </c>
      <c r="J18" s="7">
        <v>3100</v>
      </c>
      <c r="K18" s="14">
        <v>3300</v>
      </c>
      <c r="L18" s="14">
        <v>3500</v>
      </c>
      <c r="M18" s="7">
        <v>3500</v>
      </c>
      <c r="N18" s="7">
        <v>3200</v>
      </c>
      <c r="O18" s="7">
        <v>3200</v>
      </c>
      <c r="P18" s="7">
        <v>3100</v>
      </c>
      <c r="Q18" s="7">
        <v>2900</v>
      </c>
      <c r="R18" s="7">
        <v>2900</v>
      </c>
      <c r="S18" s="7">
        <v>2600</v>
      </c>
      <c r="T18" s="7">
        <v>2400</v>
      </c>
      <c r="U18" s="7">
        <v>2400</v>
      </c>
      <c r="V18" s="7">
        <v>2100</v>
      </c>
      <c r="W18" s="7">
        <v>2100</v>
      </c>
      <c r="X18" s="7">
        <v>2100</v>
      </c>
      <c r="Y18" s="7">
        <v>1800</v>
      </c>
      <c r="Z18" s="7">
        <v>1800</v>
      </c>
      <c r="AA18" s="7">
        <v>1400</v>
      </c>
      <c r="AB18" s="7">
        <v>1400</v>
      </c>
      <c r="AC18" s="7">
        <v>1400</v>
      </c>
      <c r="AD18" s="7">
        <v>1100</v>
      </c>
      <c r="AE18" s="7">
        <v>1100</v>
      </c>
      <c r="AF18" s="7">
        <v>1100</v>
      </c>
      <c r="AG18" s="7">
        <v>800</v>
      </c>
      <c r="AH18" s="7">
        <v>800</v>
      </c>
      <c r="AI18" s="7">
        <v>600</v>
      </c>
    </row>
    <row r="19" spans="1:35" s="3" customFormat="1" ht="24.95" customHeight="1">
      <c r="A19" s="61" t="s">
        <v>50</v>
      </c>
      <c r="B19" s="13" t="s">
        <v>51</v>
      </c>
      <c r="C19" s="7">
        <f>D19+'6月'!C19</f>
        <v>7352.22</v>
      </c>
      <c r="D19" s="7">
        <f t="shared" ref="D19:D28" si="6">SUM(E19:AI19)</f>
        <v>0</v>
      </c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28"/>
      <c r="T19" s="28"/>
      <c r="U19" s="28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</row>
    <row r="20" spans="1:35" s="3" customFormat="1" ht="24.95" customHeight="1">
      <c r="A20" s="62"/>
      <c r="B20" s="13" t="s">
        <v>52</v>
      </c>
      <c r="C20" s="7">
        <f>D20+'6月'!C20</f>
        <v>63927.340000000004</v>
      </c>
      <c r="D20" s="7">
        <f t="shared" si="6"/>
        <v>11478.18</v>
      </c>
      <c r="E20" s="15">
        <v>339.22</v>
      </c>
      <c r="F20" s="15">
        <v>318.72000000000003</v>
      </c>
      <c r="G20" s="15">
        <v>341.8</v>
      </c>
      <c r="H20" s="15">
        <v>427.14</v>
      </c>
      <c r="I20" s="15">
        <v>472.68</v>
      </c>
      <c r="J20" s="15">
        <v>357.48</v>
      </c>
      <c r="K20" s="15">
        <v>349.46</v>
      </c>
      <c r="L20" s="15">
        <v>465.3</v>
      </c>
      <c r="M20" s="15">
        <v>400.1</v>
      </c>
      <c r="N20" s="15">
        <v>362.92</v>
      </c>
      <c r="O20" s="15">
        <v>361.24</v>
      </c>
      <c r="P20" s="15">
        <v>345.42</v>
      </c>
      <c r="Q20" s="15">
        <v>384.96</v>
      </c>
      <c r="R20" s="15">
        <v>344.16</v>
      </c>
      <c r="S20" s="28">
        <v>377.64</v>
      </c>
      <c r="T20" s="28">
        <v>284.02</v>
      </c>
      <c r="U20" s="28">
        <v>359.04</v>
      </c>
      <c r="V20" s="15">
        <v>414.64</v>
      </c>
      <c r="W20" s="15">
        <v>395.7</v>
      </c>
      <c r="X20" s="15">
        <v>402.18</v>
      </c>
      <c r="Y20" s="15">
        <v>385.42</v>
      </c>
      <c r="Z20" s="15">
        <v>364.42</v>
      </c>
      <c r="AA20" s="15">
        <v>378.8</v>
      </c>
      <c r="AB20" s="15">
        <v>359</v>
      </c>
      <c r="AC20" s="15">
        <v>343.54</v>
      </c>
      <c r="AD20" s="15">
        <v>344.62</v>
      </c>
      <c r="AE20" s="15">
        <v>380.18</v>
      </c>
      <c r="AF20" s="15">
        <v>336.88</v>
      </c>
      <c r="AG20" s="15">
        <v>362.26</v>
      </c>
      <c r="AH20" s="15">
        <v>350.28</v>
      </c>
      <c r="AI20" s="15">
        <v>368.96</v>
      </c>
    </row>
    <row r="21" spans="1:35" s="3" customFormat="1" ht="24.95" customHeight="1">
      <c r="A21" s="62"/>
      <c r="B21" s="13" t="s">
        <v>53</v>
      </c>
      <c r="C21" s="7">
        <f>D21+'6月'!C21</f>
        <v>0</v>
      </c>
      <c r="D21" s="7">
        <f t="shared" si="6"/>
        <v>0</v>
      </c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28"/>
      <c r="T21" s="28"/>
      <c r="U21" s="28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</row>
    <row r="22" spans="1:35" s="3" customFormat="1" ht="24.95" customHeight="1">
      <c r="A22" s="62"/>
      <c r="B22" s="13" t="s">
        <v>54</v>
      </c>
      <c r="C22" s="7">
        <f>D22+'6月'!C22</f>
        <v>0</v>
      </c>
      <c r="D22" s="7">
        <f t="shared" si="6"/>
        <v>0</v>
      </c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28"/>
      <c r="T22" s="28"/>
      <c r="U22" s="28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</row>
    <row r="23" spans="1:35" s="3" customFormat="1" ht="22.15" customHeight="1">
      <c r="A23" s="62"/>
      <c r="B23" s="13" t="s">
        <v>55</v>
      </c>
      <c r="C23" s="7">
        <f>D23+'6月'!C23</f>
        <v>0</v>
      </c>
      <c r="D23" s="7">
        <f t="shared" si="6"/>
        <v>0</v>
      </c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28"/>
      <c r="T23" s="28"/>
      <c r="U23" s="28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</row>
    <row r="24" spans="1:35" s="3" customFormat="1" ht="22.15" customHeight="1">
      <c r="A24" s="62"/>
      <c r="B24" s="13" t="s">
        <v>56</v>
      </c>
      <c r="C24" s="7">
        <f>D24+'6月'!C24</f>
        <v>8603.5399999999991</v>
      </c>
      <c r="D24" s="7">
        <f t="shared" si="6"/>
        <v>0</v>
      </c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28"/>
      <c r="T24" s="28"/>
      <c r="U24" s="28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</row>
    <row r="25" spans="1:35" s="3" customFormat="1" ht="21.75" customHeight="1">
      <c r="A25" s="62"/>
      <c r="B25" s="13" t="s">
        <v>57</v>
      </c>
      <c r="C25" s="7">
        <f>D25+'6月'!C25</f>
        <v>68651.240000000005</v>
      </c>
      <c r="D25" s="7">
        <f t="shared" si="6"/>
        <v>10905.240000000002</v>
      </c>
      <c r="E25" s="15">
        <v>340.36</v>
      </c>
      <c r="F25" s="15">
        <v>237.48</v>
      </c>
      <c r="G25" s="15">
        <v>364.34</v>
      </c>
      <c r="H25" s="15">
        <v>302.27999999999997</v>
      </c>
      <c r="I25" s="15">
        <v>363.28</v>
      </c>
      <c r="J25" s="15">
        <v>394.44</v>
      </c>
      <c r="K25" s="15">
        <v>336.5</v>
      </c>
      <c r="L25" s="15">
        <v>346.28</v>
      </c>
      <c r="M25" s="15">
        <v>452.94</v>
      </c>
      <c r="N25" s="15">
        <v>322.66000000000003</v>
      </c>
      <c r="O25" s="15">
        <v>386.28</v>
      </c>
      <c r="P25" s="15">
        <v>331.46</v>
      </c>
      <c r="Q25" s="15">
        <v>335.44</v>
      </c>
      <c r="R25" s="15">
        <v>341.54</v>
      </c>
      <c r="S25" s="28">
        <v>310.06</v>
      </c>
      <c r="T25" s="28">
        <v>313.64</v>
      </c>
      <c r="U25" s="28">
        <v>374.98</v>
      </c>
      <c r="V25" s="15">
        <v>375.74</v>
      </c>
      <c r="W25" s="15">
        <v>345.52</v>
      </c>
      <c r="X25" s="15">
        <v>369.16</v>
      </c>
      <c r="Y25" s="15">
        <v>363.9</v>
      </c>
      <c r="Z25" s="15">
        <v>369.06</v>
      </c>
      <c r="AA25" s="15">
        <v>339.66</v>
      </c>
      <c r="AB25" s="15">
        <v>360.68</v>
      </c>
      <c r="AC25" s="15">
        <v>383.98</v>
      </c>
      <c r="AD25" s="15">
        <v>313.77999999999997</v>
      </c>
      <c r="AE25" s="15">
        <v>342.82</v>
      </c>
      <c r="AF25" s="15">
        <v>402.44</v>
      </c>
      <c r="AG25" s="15">
        <v>317.83999999999997</v>
      </c>
      <c r="AH25" s="15">
        <v>380.58</v>
      </c>
      <c r="AI25" s="15">
        <v>386.12</v>
      </c>
    </row>
    <row r="26" spans="1:35" s="3" customFormat="1" ht="18" customHeight="1">
      <c r="A26" s="62"/>
      <c r="B26" s="13" t="s">
        <v>58</v>
      </c>
      <c r="C26" s="7">
        <f>D26+'6月'!C26</f>
        <v>14252.339999999998</v>
      </c>
      <c r="D26" s="7">
        <f t="shared" si="6"/>
        <v>2904.7000000000003</v>
      </c>
      <c r="E26" s="15">
        <v>89.76</v>
      </c>
      <c r="F26" s="15">
        <v>100.16</v>
      </c>
      <c r="G26" s="15">
        <v>103.62</v>
      </c>
      <c r="H26" s="15">
        <v>77.819999999999993</v>
      </c>
      <c r="I26" s="15">
        <v>94.5</v>
      </c>
      <c r="J26" s="15">
        <v>94.1</v>
      </c>
      <c r="K26" s="15">
        <v>94.62</v>
      </c>
      <c r="L26" s="15">
        <v>88.4</v>
      </c>
      <c r="M26" s="15">
        <v>101.04</v>
      </c>
      <c r="N26" s="15">
        <v>96.96</v>
      </c>
      <c r="O26" s="15">
        <v>72.88</v>
      </c>
      <c r="P26" s="15">
        <v>94.46</v>
      </c>
      <c r="Q26" s="15">
        <v>94.64</v>
      </c>
      <c r="R26" s="15">
        <v>90.58</v>
      </c>
      <c r="S26" s="15">
        <v>91.8</v>
      </c>
      <c r="T26" s="28">
        <v>93.9</v>
      </c>
      <c r="U26" s="28">
        <v>101.72</v>
      </c>
      <c r="V26" s="15">
        <v>83.14</v>
      </c>
      <c r="W26" s="15">
        <v>107.88</v>
      </c>
      <c r="X26" s="15">
        <v>91.96</v>
      </c>
      <c r="Y26" s="15">
        <v>95.78</v>
      </c>
      <c r="Z26" s="15">
        <v>102.36</v>
      </c>
      <c r="AA26" s="15">
        <v>88.22</v>
      </c>
      <c r="AB26" s="15">
        <v>85.46</v>
      </c>
      <c r="AC26" s="15">
        <v>93.86</v>
      </c>
      <c r="AD26" s="15">
        <v>98.4</v>
      </c>
      <c r="AE26" s="15">
        <v>99.08</v>
      </c>
      <c r="AF26" s="15">
        <v>95.14</v>
      </c>
      <c r="AG26" s="15">
        <v>89.76</v>
      </c>
      <c r="AH26" s="15">
        <v>85.44</v>
      </c>
      <c r="AI26" s="15">
        <v>107.26</v>
      </c>
    </row>
    <row r="27" spans="1:35" s="3" customFormat="1" ht="18" customHeight="1">
      <c r="A27" s="62"/>
      <c r="B27" s="16" t="s">
        <v>59</v>
      </c>
      <c r="C27" s="7">
        <f>D27+'6月'!C27</f>
        <v>0</v>
      </c>
      <c r="D27" s="7">
        <f t="shared" si="6"/>
        <v>0</v>
      </c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28"/>
      <c r="U27" s="28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</row>
    <row r="28" spans="1:35" s="3" customFormat="1" ht="18" customHeight="1">
      <c r="A28" s="62"/>
      <c r="B28" s="16" t="s">
        <v>60</v>
      </c>
      <c r="C28" s="7">
        <f>D28+'6月'!C28</f>
        <v>0</v>
      </c>
      <c r="D28" s="7">
        <f t="shared" si="6"/>
        <v>0</v>
      </c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28"/>
      <c r="U28" s="28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</row>
    <row r="29" spans="1:35" s="3" customFormat="1" ht="18" hidden="1" customHeight="1">
      <c r="A29" s="63"/>
      <c r="B29" s="16"/>
      <c r="C29" s="7">
        <f>D29+'6月'!C29</f>
        <v>0</v>
      </c>
      <c r="D29" s="7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</row>
    <row r="30" spans="1:35" s="3" customFormat="1" ht="26.1" customHeight="1">
      <c r="A30" s="12"/>
      <c r="B30" s="12" t="s">
        <v>61</v>
      </c>
      <c r="C30" s="7">
        <f>D30+'6月'!C30</f>
        <v>162786.68</v>
      </c>
      <c r="D30" s="7">
        <f>SUM(D19:D29)</f>
        <v>25288.120000000003</v>
      </c>
      <c r="E30" s="7">
        <f t="shared" ref="E30:AI30" si="7">SUM(E19:E29)</f>
        <v>769.34</v>
      </c>
      <c r="F30" s="7">
        <f t="shared" si="7"/>
        <v>656.36</v>
      </c>
      <c r="G30" s="7">
        <f t="shared" si="7"/>
        <v>809.76</v>
      </c>
      <c r="H30" s="7">
        <f t="shared" si="7"/>
        <v>807.24</v>
      </c>
      <c r="I30" s="7">
        <f t="shared" si="7"/>
        <v>930.46</v>
      </c>
      <c r="J30" s="7">
        <f t="shared" si="7"/>
        <v>846.0200000000001</v>
      </c>
      <c r="K30" s="7">
        <f t="shared" si="7"/>
        <v>780.58</v>
      </c>
      <c r="L30" s="7">
        <f t="shared" si="7"/>
        <v>899.9799999999999</v>
      </c>
      <c r="M30" s="7">
        <f t="shared" si="7"/>
        <v>954.07999999999993</v>
      </c>
      <c r="N30" s="7">
        <f t="shared" si="7"/>
        <v>782.54000000000008</v>
      </c>
      <c r="O30" s="7">
        <f t="shared" si="7"/>
        <v>820.4</v>
      </c>
      <c r="P30" s="7">
        <f t="shared" si="7"/>
        <v>771.34</v>
      </c>
      <c r="Q30" s="7">
        <f t="shared" si="7"/>
        <v>815.04</v>
      </c>
      <c r="R30" s="7">
        <f t="shared" si="7"/>
        <v>776.28000000000009</v>
      </c>
      <c r="S30" s="7">
        <f t="shared" si="7"/>
        <v>779.5</v>
      </c>
      <c r="T30" s="7">
        <f t="shared" si="7"/>
        <v>691.56</v>
      </c>
      <c r="U30" s="7">
        <f t="shared" si="7"/>
        <v>835.74</v>
      </c>
      <c r="V30" s="7">
        <f t="shared" si="7"/>
        <v>873.52</v>
      </c>
      <c r="W30" s="7">
        <f t="shared" si="7"/>
        <v>849.1</v>
      </c>
      <c r="X30" s="7">
        <f t="shared" si="7"/>
        <v>863.30000000000007</v>
      </c>
      <c r="Y30" s="7">
        <f t="shared" si="7"/>
        <v>845.09999999999991</v>
      </c>
      <c r="Z30" s="7">
        <f t="shared" si="7"/>
        <v>835.84</v>
      </c>
      <c r="AA30" s="7">
        <f t="shared" si="7"/>
        <v>806.68000000000006</v>
      </c>
      <c r="AB30" s="7">
        <f t="shared" si="7"/>
        <v>805.1400000000001</v>
      </c>
      <c r="AC30" s="7">
        <f t="shared" si="7"/>
        <v>821.38</v>
      </c>
      <c r="AD30" s="7">
        <f t="shared" si="7"/>
        <v>756.8</v>
      </c>
      <c r="AE30" s="7">
        <f t="shared" si="7"/>
        <v>822.08</v>
      </c>
      <c r="AF30" s="7">
        <f t="shared" si="7"/>
        <v>834.45999999999992</v>
      </c>
      <c r="AG30" s="7">
        <f t="shared" si="7"/>
        <v>769.8599999999999</v>
      </c>
      <c r="AH30" s="7">
        <f t="shared" si="7"/>
        <v>816.3</v>
      </c>
      <c r="AI30" s="7">
        <f t="shared" si="7"/>
        <v>862.33999999999992</v>
      </c>
    </row>
    <row r="31" spans="1:35" s="3" customFormat="1" ht="24.95" customHeight="1">
      <c r="A31" s="57" t="s">
        <v>62</v>
      </c>
      <c r="B31" s="7" t="s">
        <v>63</v>
      </c>
      <c r="C31" s="7">
        <f>D31+'6月'!C31</f>
        <v>30090.66</v>
      </c>
      <c r="D31" s="7">
        <f t="shared" ref="D31:D37" si="8">SUM(E31:AI31)</f>
        <v>4462.5600000000004</v>
      </c>
      <c r="E31" s="7">
        <v>162.6</v>
      </c>
      <c r="F31" s="7">
        <v>173.32</v>
      </c>
      <c r="G31" s="7">
        <v>151.44</v>
      </c>
      <c r="H31" s="29">
        <v>152.4</v>
      </c>
      <c r="I31" s="7">
        <v>180.76</v>
      </c>
      <c r="J31" s="7">
        <v>129.02000000000001</v>
      </c>
      <c r="K31" s="7">
        <v>116.7</v>
      </c>
      <c r="L31" s="7">
        <v>110.98</v>
      </c>
      <c r="M31" s="7">
        <v>122.72</v>
      </c>
      <c r="N31" s="7">
        <v>145.56</v>
      </c>
      <c r="O31" s="7">
        <v>137.97999999999999</v>
      </c>
      <c r="P31" s="7">
        <v>119.22</v>
      </c>
      <c r="Q31" s="7">
        <v>169.74</v>
      </c>
      <c r="R31" s="7">
        <v>162.32</v>
      </c>
      <c r="S31" s="7">
        <v>145.86000000000001</v>
      </c>
      <c r="T31" s="7">
        <v>151.58000000000001</v>
      </c>
      <c r="U31" s="29">
        <v>175.58</v>
      </c>
      <c r="V31" s="7">
        <v>178</v>
      </c>
      <c r="W31" s="7">
        <v>126.12</v>
      </c>
      <c r="X31" s="7">
        <v>105.82</v>
      </c>
      <c r="Y31" s="7">
        <v>150.6</v>
      </c>
      <c r="Z31" s="7">
        <v>148.06</v>
      </c>
      <c r="AA31" s="7">
        <v>171.86</v>
      </c>
      <c r="AB31" s="29">
        <v>151.69999999999999</v>
      </c>
      <c r="AC31" s="29">
        <v>156.02000000000001</v>
      </c>
      <c r="AD31" s="29">
        <v>171.32</v>
      </c>
      <c r="AE31" s="29">
        <v>166.26</v>
      </c>
      <c r="AF31" s="29">
        <v>144.58000000000001</v>
      </c>
      <c r="AG31" s="29">
        <v>182.3</v>
      </c>
      <c r="AH31" s="29">
        <v>43.96</v>
      </c>
      <c r="AI31" s="7">
        <v>58.18</v>
      </c>
    </row>
    <row r="32" spans="1:35" s="3" customFormat="1" ht="24.95" customHeight="1">
      <c r="A32" s="57"/>
      <c r="B32" s="7" t="s">
        <v>64</v>
      </c>
      <c r="C32" s="7">
        <f>D32+'6月'!C32</f>
        <v>3779.2</v>
      </c>
      <c r="D32" s="7">
        <f t="shared" si="8"/>
        <v>548.24</v>
      </c>
      <c r="E32" s="7">
        <v>11.58</v>
      </c>
      <c r="F32" s="7">
        <v>33.18</v>
      </c>
      <c r="G32" s="7">
        <v>23.02</v>
      </c>
      <c r="H32" s="20">
        <v>0</v>
      </c>
      <c r="I32" s="7">
        <v>34.880000000000003</v>
      </c>
      <c r="J32" s="7">
        <v>17.54</v>
      </c>
      <c r="K32" s="7">
        <v>9.18</v>
      </c>
      <c r="L32" s="7">
        <v>27.28</v>
      </c>
      <c r="M32" s="7">
        <v>11.24</v>
      </c>
      <c r="N32" s="7">
        <v>20.32</v>
      </c>
      <c r="O32" s="7">
        <v>6.14</v>
      </c>
      <c r="P32" s="7">
        <v>32.520000000000003</v>
      </c>
      <c r="Q32" s="7">
        <v>22.44</v>
      </c>
      <c r="R32" s="7">
        <v>25.04</v>
      </c>
      <c r="S32" s="7">
        <v>12.4</v>
      </c>
      <c r="T32" s="7">
        <v>11.76</v>
      </c>
      <c r="U32" s="7">
        <v>11.5</v>
      </c>
      <c r="V32" s="7">
        <v>15.94</v>
      </c>
      <c r="W32" s="7">
        <v>11.8</v>
      </c>
      <c r="X32" s="7">
        <v>20.22</v>
      </c>
      <c r="Y32" s="7">
        <v>11.52</v>
      </c>
      <c r="Z32" s="7">
        <v>16.760000000000002</v>
      </c>
      <c r="AA32" s="7">
        <v>10.8</v>
      </c>
      <c r="AB32" s="20">
        <v>10.14</v>
      </c>
      <c r="AC32" s="20">
        <v>10.42</v>
      </c>
      <c r="AD32" s="20">
        <v>24.14</v>
      </c>
      <c r="AE32" s="20">
        <v>12.78</v>
      </c>
      <c r="AF32" s="20">
        <v>30.92</v>
      </c>
      <c r="AG32" s="20">
        <v>28.76</v>
      </c>
      <c r="AH32" s="20">
        <v>22.86</v>
      </c>
      <c r="AI32" s="7">
        <v>11.16</v>
      </c>
    </row>
    <row r="33" spans="1:35" s="3" customFormat="1" ht="24.95" customHeight="1">
      <c r="A33" s="57"/>
      <c r="B33" s="6" t="s">
        <v>65</v>
      </c>
      <c r="C33" s="7">
        <f>D33+'6月'!C33</f>
        <v>12806</v>
      </c>
      <c r="D33" s="7">
        <f t="shared" si="8"/>
        <v>2647</v>
      </c>
      <c r="E33" s="7">
        <v>0</v>
      </c>
      <c r="F33" s="7">
        <v>0</v>
      </c>
      <c r="G33" s="7">
        <v>0</v>
      </c>
      <c r="H33" s="7">
        <v>227</v>
      </c>
      <c r="I33" s="7">
        <v>184</v>
      </c>
      <c r="J33" s="7">
        <v>0</v>
      </c>
      <c r="K33" s="7">
        <v>161</v>
      </c>
      <c r="L33" s="7">
        <v>0</v>
      </c>
      <c r="M33" s="7">
        <v>149</v>
      </c>
      <c r="N33" s="7">
        <v>139</v>
      </c>
      <c r="O33" s="7">
        <v>0</v>
      </c>
      <c r="P33" s="7">
        <v>0</v>
      </c>
      <c r="Q33" s="7">
        <v>171</v>
      </c>
      <c r="R33" s="7">
        <v>0</v>
      </c>
      <c r="S33" s="7">
        <v>199</v>
      </c>
      <c r="T33" s="7">
        <v>0</v>
      </c>
      <c r="U33" s="7">
        <v>0</v>
      </c>
      <c r="V33" s="7">
        <v>275</v>
      </c>
      <c r="W33" s="7">
        <v>0</v>
      </c>
      <c r="X33" s="7">
        <v>0</v>
      </c>
      <c r="Y33" s="7">
        <v>272</v>
      </c>
      <c r="Z33" s="7">
        <v>0</v>
      </c>
      <c r="AA33" s="7">
        <v>293</v>
      </c>
      <c r="AB33" s="7">
        <v>0</v>
      </c>
      <c r="AC33" s="7">
        <v>0</v>
      </c>
      <c r="AD33" s="7">
        <v>168</v>
      </c>
      <c r="AE33" s="7">
        <v>0</v>
      </c>
      <c r="AF33" s="7">
        <v>0</v>
      </c>
      <c r="AG33" s="7">
        <v>231</v>
      </c>
      <c r="AH33" s="7">
        <v>0</v>
      </c>
      <c r="AI33" s="7">
        <v>178</v>
      </c>
    </row>
    <row r="34" spans="1:35" s="3" customFormat="1" ht="24.95" customHeight="1">
      <c r="A34" s="57"/>
      <c r="B34" s="7" t="s">
        <v>66</v>
      </c>
      <c r="C34" s="7">
        <f>D34+'6月'!C34</f>
        <v>50210</v>
      </c>
      <c r="D34" s="7">
        <f t="shared" si="8"/>
        <v>9957</v>
      </c>
      <c r="E34" s="7">
        <v>276</v>
      </c>
      <c r="F34" s="7">
        <v>317</v>
      </c>
      <c r="G34" s="7">
        <v>360</v>
      </c>
      <c r="H34" s="7">
        <v>353</v>
      </c>
      <c r="I34" s="7">
        <v>355</v>
      </c>
      <c r="J34" s="7">
        <v>401</v>
      </c>
      <c r="K34" s="7">
        <v>353</v>
      </c>
      <c r="L34" s="7">
        <v>255</v>
      </c>
      <c r="M34" s="7">
        <v>351</v>
      </c>
      <c r="N34" s="7">
        <v>355</v>
      </c>
      <c r="O34" s="7">
        <v>354</v>
      </c>
      <c r="P34" s="7">
        <v>351</v>
      </c>
      <c r="Q34" s="7">
        <v>208</v>
      </c>
      <c r="R34" s="7">
        <v>149</v>
      </c>
      <c r="S34" s="7">
        <v>259</v>
      </c>
      <c r="T34" s="7">
        <v>404</v>
      </c>
      <c r="U34" s="7">
        <v>352</v>
      </c>
      <c r="V34" s="7">
        <v>355</v>
      </c>
      <c r="W34" s="7">
        <v>351</v>
      </c>
      <c r="X34" s="7">
        <v>329</v>
      </c>
      <c r="Y34" s="7">
        <v>353</v>
      </c>
      <c r="Z34" s="7">
        <v>369</v>
      </c>
      <c r="AA34" s="7">
        <v>333</v>
      </c>
      <c r="AB34" s="7">
        <v>330</v>
      </c>
      <c r="AC34" s="7">
        <v>335</v>
      </c>
      <c r="AD34" s="7">
        <v>321</v>
      </c>
      <c r="AE34" s="7">
        <v>348</v>
      </c>
      <c r="AF34" s="7">
        <v>248</v>
      </c>
      <c r="AG34" s="7">
        <v>274</v>
      </c>
      <c r="AH34" s="7">
        <v>270</v>
      </c>
      <c r="AI34" s="7">
        <v>288</v>
      </c>
    </row>
    <row r="35" spans="1:35" s="3" customFormat="1" ht="24.95" customHeight="1">
      <c r="A35" s="58" t="s">
        <v>67</v>
      </c>
      <c r="B35" s="7" t="s">
        <v>68</v>
      </c>
      <c r="C35" s="7">
        <f>D35+'6月'!C35</f>
        <v>359.30900000000003</v>
      </c>
      <c r="D35" s="7">
        <f t="shared" si="8"/>
        <v>53.699000000000005</v>
      </c>
      <c r="E35" s="31">
        <v>1.8260000000000001</v>
      </c>
      <c r="F35" s="31">
        <v>1.782</v>
      </c>
      <c r="G35" s="31">
        <v>1.8009999999999999</v>
      </c>
      <c r="H35" s="32">
        <v>1.889</v>
      </c>
      <c r="I35" s="32">
        <v>1.7969999999999999</v>
      </c>
      <c r="J35" s="32">
        <v>0.84499999999999997</v>
      </c>
      <c r="K35" s="32">
        <v>0.83499999999999996</v>
      </c>
      <c r="L35" s="32">
        <v>1.2829999999999999</v>
      </c>
      <c r="M35" s="32">
        <v>1.696</v>
      </c>
      <c r="N35" s="32">
        <v>1.8620000000000001</v>
      </c>
      <c r="O35" s="32">
        <v>1.8740000000000001</v>
      </c>
      <c r="P35" s="32">
        <v>1.927</v>
      </c>
      <c r="Q35" s="32">
        <v>1.9219999999999999</v>
      </c>
      <c r="R35" s="32">
        <v>1.885</v>
      </c>
      <c r="S35" s="32">
        <v>1.7829999999999999</v>
      </c>
      <c r="T35" s="34">
        <v>1.794</v>
      </c>
      <c r="U35" s="32">
        <v>1.8049999999999999</v>
      </c>
      <c r="V35" s="32">
        <v>1.9139999999999999</v>
      </c>
      <c r="W35" s="32">
        <v>1.7390000000000001</v>
      </c>
      <c r="X35" s="32">
        <v>1.7849999999999999</v>
      </c>
      <c r="Y35" s="32">
        <v>1.8049999999999999</v>
      </c>
      <c r="Z35" s="32">
        <v>1.8149999999999999</v>
      </c>
      <c r="AA35" s="32">
        <v>1.82</v>
      </c>
      <c r="AB35" s="32">
        <v>1.7889999999999999</v>
      </c>
      <c r="AC35" s="32">
        <v>1.887</v>
      </c>
      <c r="AD35" s="32">
        <v>1.9039999999999999</v>
      </c>
      <c r="AE35" s="32">
        <v>1.7130000000000001</v>
      </c>
      <c r="AF35" s="35">
        <v>1.784</v>
      </c>
      <c r="AG35" s="32">
        <v>1.677</v>
      </c>
      <c r="AH35" s="32">
        <v>1.786</v>
      </c>
      <c r="AI35" s="32">
        <v>1.675</v>
      </c>
    </row>
    <row r="36" spans="1:35" s="3" customFormat="1" ht="24.95" customHeight="1">
      <c r="A36" s="59"/>
      <c r="B36" s="7" t="s">
        <v>69</v>
      </c>
      <c r="C36" s="7">
        <f>D36+'6月'!C36</f>
        <v>1453.5660000000005</v>
      </c>
      <c r="D36" s="7">
        <f t="shared" si="8"/>
        <v>213.31500000000005</v>
      </c>
      <c r="E36" s="33">
        <v>6.8</v>
      </c>
      <c r="F36" s="33">
        <v>6.8</v>
      </c>
      <c r="G36" s="33">
        <v>6.8</v>
      </c>
      <c r="H36" s="33">
        <v>6.8</v>
      </c>
      <c r="I36" s="33">
        <v>6.8</v>
      </c>
      <c r="J36" s="33">
        <v>3.4</v>
      </c>
      <c r="K36" s="33">
        <v>3.4</v>
      </c>
      <c r="L36" s="33">
        <v>6.8</v>
      </c>
      <c r="M36" s="33">
        <v>6.8</v>
      </c>
      <c r="N36" s="33">
        <v>6.8</v>
      </c>
      <c r="O36" s="33">
        <v>6.8</v>
      </c>
      <c r="P36" s="33">
        <v>6.8</v>
      </c>
      <c r="Q36" s="33">
        <v>6.8</v>
      </c>
      <c r="R36" s="33">
        <v>6.8</v>
      </c>
      <c r="S36" s="33">
        <v>6.8</v>
      </c>
      <c r="T36" s="33">
        <v>6.8</v>
      </c>
      <c r="U36" s="33">
        <v>6.8</v>
      </c>
      <c r="V36" s="33">
        <v>6.8</v>
      </c>
      <c r="W36" s="33">
        <v>6.8</v>
      </c>
      <c r="X36" s="33">
        <v>6.8</v>
      </c>
      <c r="Y36" s="33">
        <v>6.8</v>
      </c>
      <c r="Z36" s="33">
        <v>6.8</v>
      </c>
      <c r="AA36" s="33">
        <v>7.835</v>
      </c>
      <c r="AB36" s="33">
        <v>7.835</v>
      </c>
      <c r="AC36" s="33">
        <v>7.835</v>
      </c>
      <c r="AD36" s="33">
        <v>7.835</v>
      </c>
      <c r="AE36" s="33">
        <v>7.835</v>
      </c>
      <c r="AF36" s="33">
        <v>7.835</v>
      </c>
      <c r="AG36" s="33">
        <v>7.835</v>
      </c>
      <c r="AH36" s="33">
        <v>7.835</v>
      </c>
      <c r="AI36" s="33">
        <v>7.835</v>
      </c>
    </row>
    <row r="37" spans="1:35" s="3" customFormat="1" ht="24.95" customHeight="1">
      <c r="A37" s="60"/>
      <c r="B37" s="7" t="s">
        <v>70</v>
      </c>
      <c r="C37" s="7">
        <f>D37+'6月'!C37</f>
        <v>65.64700000000002</v>
      </c>
      <c r="D37" s="7">
        <f t="shared" si="8"/>
        <v>9.6000000000000032</v>
      </c>
      <c r="E37" s="33">
        <v>0.32</v>
      </c>
      <c r="F37" s="33">
        <v>0.32</v>
      </c>
      <c r="G37" s="33">
        <v>0.32</v>
      </c>
      <c r="H37" s="33">
        <v>0.32</v>
      </c>
      <c r="I37" s="33">
        <v>0.32</v>
      </c>
      <c r="J37" s="33">
        <v>0.16</v>
      </c>
      <c r="K37" s="33">
        <v>0.16</v>
      </c>
      <c r="L37" s="33">
        <v>0.32</v>
      </c>
      <c r="M37" s="33">
        <v>0.32</v>
      </c>
      <c r="N37" s="33">
        <v>0.32</v>
      </c>
      <c r="O37" s="33">
        <v>0.32</v>
      </c>
      <c r="P37" s="33">
        <v>0.32</v>
      </c>
      <c r="Q37" s="33">
        <v>0.32</v>
      </c>
      <c r="R37" s="33">
        <v>0.32</v>
      </c>
      <c r="S37" s="33">
        <v>0.32</v>
      </c>
      <c r="T37" s="33">
        <v>0.32</v>
      </c>
      <c r="U37" s="33">
        <v>0.32</v>
      </c>
      <c r="V37" s="33">
        <v>0.32</v>
      </c>
      <c r="W37" s="33">
        <v>0.32</v>
      </c>
      <c r="X37" s="33">
        <v>0.32</v>
      </c>
      <c r="Y37" s="33">
        <v>0.32</v>
      </c>
      <c r="Z37" s="33">
        <v>0.32</v>
      </c>
      <c r="AA37" s="33">
        <v>0.32</v>
      </c>
      <c r="AB37" s="33">
        <v>0.32</v>
      </c>
      <c r="AC37" s="33">
        <v>0.32</v>
      </c>
      <c r="AD37" s="33">
        <v>0.32</v>
      </c>
      <c r="AE37" s="33">
        <v>0.32</v>
      </c>
      <c r="AF37" s="33">
        <v>0.32</v>
      </c>
      <c r="AG37" s="33">
        <v>0.32</v>
      </c>
      <c r="AH37" s="33">
        <v>0.32</v>
      </c>
      <c r="AI37" s="33">
        <v>0.32</v>
      </c>
    </row>
    <row r="38" spans="1:35" s="1" customFormat="1" ht="18" customHeight="1">
      <c r="B38" s="22" t="s">
        <v>71</v>
      </c>
      <c r="C38" s="23">
        <f>C31/C5</f>
        <v>0.19343256525554198</v>
      </c>
      <c r="D38" s="23">
        <f>D31/D5</f>
        <v>0.18527917095692029</v>
      </c>
      <c r="G38" s="24"/>
    </row>
    <row r="39" spans="1:35" s="1" customFormat="1" ht="18" customHeight="1">
      <c r="B39" s="22" t="s">
        <v>72</v>
      </c>
      <c r="C39" s="23">
        <f>C32/C5</f>
        <v>2.4293928767722083E-2</v>
      </c>
      <c r="D39" s="23">
        <f>D32/D5</f>
        <v>2.2762148337595902E-2</v>
      </c>
      <c r="G39" s="24"/>
    </row>
    <row r="40" spans="1:35" s="1" customFormat="1" ht="18" customHeight="1">
      <c r="B40" s="22" t="s">
        <v>73</v>
      </c>
      <c r="C40" s="23">
        <f>C33/C5</f>
        <v>8.2321139870726354E-2</v>
      </c>
      <c r="D40" s="23">
        <f>D33/D5</f>
        <v>0.10989969110173711</v>
      </c>
      <c r="G40" s="24"/>
    </row>
    <row r="41" spans="1:35">
      <c r="G41" s="25"/>
    </row>
    <row r="42" spans="1:35">
      <c r="G42" s="25"/>
    </row>
    <row r="43" spans="1:35">
      <c r="G43" s="25"/>
    </row>
    <row r="44" spans="1:35">
      <c r="G44" s="25"/>
    </row>
    <row r="45" spans="1:35">
      <c r="G45" s="25"/>
    </row>
    <row r="46" spans="1:35">
      <c r="G46" s="25"/>
    </row>
    <row r="47" spans="1:35">
      <c r="G47" s="25"/>
    </row>
    <row r="48" spans="1:35">
      <c r="G48" s="25"/>
    </row>
    <row r="49" spans="7:7">
      <c r="G49" s="25"/>
    </row>
    <row r="50" spans="7:7">
      <c r="G50" s="25"/>
    </row>
    <row r="51" spans="7:7">
      <c r="G51" s="25"/>
    </row>
    <row r="52" spans="7:7">
      <c r="G52" s="25"/>
    </row>
    <row r="53" spans="7:7">
      <c r="G53" s="25"/>
    </row>
    <row r="54" spans="7:7">
      <c r="G54" s="25"/>
    </row>
    <row r="55" spans="7:7">
      <c r="G55" s="25"/>
    </row>
    <row r="56" spans="7:7">
      <c r="G56" s="25"/>
    </row>
    <row r="57" spans="7:7">
      <c r="G57" s="25"/>
    </row>
    <row r="58" spans="7:7">
      <c r="G58" s="25"/>
    </row>
    <row r="59" spans="7:7">
      <c r="G59" s="25"/>
    </row>
    <row r="60" spans="7:7">
      <c r="G60" s="25"/>
    </row>
    <row r="61" spans="7:7">
      <c r="G61" s="25"/>
    </row>
    <row r="62" spans="7:7">
      <c r="G62" s="25"/>
    </row>
    <row r="63" spans="7:7">
      <c r="G63" s="25"/>
    </row>
  </sheetData>
  <mergeCells count="10">
    <mergeCell ref="A35:A37"/>
    <mergeCell ref="A13:A15"/>
    <mergeCell ref="A16:A17"/>
    <mergeCell ref="A19:A29"/>
    <mergeCell ref="A31:A34"/>
    <mergeCell ref="A1:B1"/>
    <mergeCell ref="C1:AI1"/>
    <mergeCell ref="A3:A5"/>
    <mergeCell ref="A6:A8"/>
    <mergeCell ref="A9:A12"/>
  </mergeCells>
  <phoneticPr fontId="12" type="noConversion"/>
  <pageMargins left="0.69930555555555596" right="0.69930555555555596" top="0.75" bottom="0.75" header="0.3" footer="0.3"/>
  <pageSetup paperSize="8" scale="57" orientation="landscape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63"/>
  <sheetViews>
    <sheetView zoomScale="160" zoomScaleNormal="160" workbookViewId="0">
      <pane xSplit="4" topLeftCell="E1" activePane="topRight" state="frozen"/>
      <selection pane="topRight" activeCell="B35" sqref="A35:XFD41"/>
    </sheetView>
  </sheetViews>
  <sheetFormatPr defaultColWidth="9" defaultRowHeight="13.5"/>
  <cols>
    <col min="1" max="1" width="8.75" style="4" customWidth="1"/>
    <col min="2" max="2" width="13.625" style="4" customWidth="1"/>
    <col min="3" max="3" width="13.25" style="4" customWidth="1"/>
    <col min="4" max="4" width="10.5" style="4" customWidth="1"/>
    <col min="5" max="6" width="9" style="4"/>
    <col min="7" max="12" width="9" style="4" customWidth="1"/>
    <col min="13" max="13" width="10.875" style="4" customWidth="1"/>
    <col min="14" max="16" width="9" style="4" customWidth="1"/>
    <col min="17" max="17" width="11" style="4" customWidth="1"/>
    <col min="18" max="31" width="9" style="4" customWidth="1"/>
    <col min="32" max="32" width="9" style="4"/>
    <col min="33" max="33" width="9" style="4" customWidth="1"/>
    <col min="34" max="34" width="8.375" style="4" customWidth="1"/>
    <col min="35" max="35" width="9" style="4" customWidth="1"/>
    <col min="36" max="16384" width="9" style="4"/>
  </cols>
  <sheetData>
    <row r="1" spans="1:35" s="1" customFormat="1" ht="42.75" customHeight="1">
      <c r="A1" s="53">
        <v>44409</v>
      </c>
      <c r="B1" s="54"/>
      <c r="C1" s="55" t="s">
        <v>0</v>
      </c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55"/>
      <c r="X1" s="55"/>
      <c r="Y1" s="55"/>
      <c r="Z1" s="55"/>
      <c r="AA1" s="55"/>
      <c r="AB1" s="55"/>
      <c r="AC1" s="55"/>
      <c r="AD1" s="55"/>
      <c r="AE1" s="55"/>
      <c r="AF1" s="55"/>
      <c r="AG1" s="55"/>
      <c r="AH1" s="55"/>
      <c r="AI1" s="55"/>
    </row>
    <row r="2" spans="1:35" s="2" customFormat="1" ht="24.95" customHeight="1">
      <c r="A2" s="5"/>
      <c r="B2" s="5" t="s">
        <v>1</v>
      </c>
      <c r="C2" s="5" t="s">
        <v>2</v>
      </c>
      <c r="D2" s="5" t="s">
        <v>3</v>
      </c>
      <c r="E2" s="5" t="s">
        <v>4</v>
      </c>
      <c r="F2" s="5" t="s">
        <v>5</v>
      </c>
      <c r="G2" s="5" t="s">
        <v>6</v>
      </c>
      <c r="H2" s="5" t="s">
        <v>7</v>
      </c>
      <c r="I2" s="5" t="s">
        <v>8</v>
      </c>
      <c r="J2" s="5" t="s">
        <v>9</v>
      </c>
      <c r="K2" s="5" t="s">
        <v>10</v>
      </c>
      <c r="L2" s="5" t="s">
        <v>11</v>
      </c>
      <c r="M2" s="5" t="s">
        <v>12</v>
      </c>
      <c r="N2" s="5" t="s">
        <v>13</v>
      </c>
      <c r="O2" s="5" t="s">
        <v>14</v>
      </c>
      <c r="P2" s="5" t="s">
        <v>15</v>
      </c>
      <c r="Q2" s="5" t="s">
        <v>16</v>
      </c>
      <c r="R2" s="5" t="s">
        <v>17</v>
      </c>
      <c r="S2" s="5" t="s">
        <v>18</v>
      </c>
      <c r="T2" s="5" t="s">
        <v>19</v>
      </c>
      <c r="U2" s="5" t="s">
        <v>20</v>
      </c>
      <c r="V2" s="5" t="s">
        <v>21</v>
      </c>
      <c r="W2" s="5" t="s">
        <v>22</v>
      </c>
      <c r="X2" s="5" t="s">
        <v>23</v>
      </c>
      <c r="Y2" s="5" t="s">
        <v>24</v>
      </c>
      <c r="Z2" s="5" t="s">
        <v>25</v>
      </c>
      <c r="AA2" s="5" t="s">
        <v>26</v>
      </c>
      <c r="AB2" s="5" t="s">
        <v>27</v>
      </c>
      <c r="AC2" s="5" t="s">
        <v>28</v>
      </c>
      <c r="AD2" s="5" t="s">
        <v>29</v>
      </c>
      <c r="AE2" s="5" t="s">
        <v>30</v>
      </c>
      <c r="AF2" s="5" t="s">
        <v>31</v>
      </c>
      <c r="AG2" s="5" t="s">
        <v>32</v>
      </c>
      <c r="AH2" s="5" t="s">
        <v>33</v>
      </c>
      <c r="AI2" s="5" t="s">
        <v>34</v>
      </c>
    </row>
    <row r="3" spans="1:35" s="3" customFormat="1" ht="25.5" customHeight="1">
      <c r="A3" s="56" t="s">
        <v>35</v>
      </c>
      <c r="B3" s="7" t="s">
        <v>36</v>
      </c>
      <c r="C3" s="7">
        <f>D3+'7月'!C3</f>
        <v>83600.499999999985</v>
      </c>
      <c r="D3" s="7">
        <f>SUM(E3:AI3)</f>
        <v>11605.399999999998</v>
      </c>
      <c r="E3" s="7">
        <v>383.4</v>
      </c>
      <c r="F3" s="7">
        <v>373.3</v>
      </c>
      <c r="G3" s="7">
        <v>352.9</v>
      </c>
      <c r="H3" s="7">
        <v>366</v>
      </c>
      <c r="I3" s="7">
        <v>348.9</v>
      </c>
      <c r="J3" s="7">
        <v>380.7</v>
      </c>
      <c r="K3" s="7">
        <v>366.7</v>
      </c>
      <c r="L3" s="7">
        <v>368.5</v>
      </c>
      <c r="M3" s="7">
        <v>368.5</v>
      </c>
      <c r="N3" s="7">
        <v>377.2</v>
      </c>
      <c r="O3" s="7">
        <v>369.6</v>
      </c>
      <c r="P3" s="7">
        <v>387.1</v>
      </c>
      <c r="Q3" s="7">
        <v>376.8</v>
      </c>
      <c r="R3" s="7">
        <v>365.6</v>
      </c>
      <c r="S3" s="7">
        <v>381.7</v>
      </c>
      <c r="T3" s="7">
        <v>378.2</v>
      </c>
      <c r="U3" s="7">
        <v>383.4</v>
      </c>
      <c r="V3" s="7">
        <v>396.2</v>
      </c>
      <c r="W3" s="7">
        <v>378.3</v>
      </c>
      <c r="X3" s="7">
        <v>367.7</v>
      </c>
      <c r="Y3" s="7">
        <v>389.7</v>
      </c>
      <c r="Z3" s="7">
        <v>401.9</v>
      </c>
      <c r="AA3" s="7">
        <v>387.6</v>
      </c>
      <c r="AB3" s="7">
        <v>369</v>
      </c>
      <c r="AC3" s="7">
        <v>365</v>
      </c>
      <c r="AD3" s="7">
        <v>376.7</v>
      </c>
      <c r="AE3" s="7">
        <v>370.8</v>
      </c>
      <c r="AF3" s="7">
        <v>365.4</v>
      </c>
      <c r="AG3" s="7">
        <v>375.9</v>
      </c>
      <c r="AH3" s="7">
        <v>368.9</v>
      </c>
      <c r="AI3" s="30">
        <v>363.8</v>
      </c>
    </row>
    <row r="4" spans="1:35" s="3" customFormat="1" ht="26.25" customHeight="1">
      <c r="A4" s="56"/>
      <c r="B4" s="7" t="s">
        <v>37</v>
      </c>
      <c r="C4" s="7">
        <f>D4+'7月'!C4</f>
        <v>95492.700000000012</v>
      </c>
      <c r="D4" s="7">
        <f t="shared" ref="D4:D9" si="0">SUM(E4:AI4)</f>
        <v>11926.300000000003</v>
      </c>
      <c r="E4" s="7">
        <v>433.7</v>
      </c>
      <c r="F4" s="7">
        <v>421.1</v>
      </c>
      <c r="G4" s="7">
        <v>437.9</v>
      </c>
      <c r="H4" s="7">
        <v>424.7</v>
      </c>
      <c r="I4" s="7">
        <v>21.5</v>
      </c>
      <c r="J4" s="7">
        <v>0</v>
      </c>
      <c r="K4" s="7">
        <v>98.7</v>
      </c>
      <c r="L4" s="7">
        <v>421.2</v>
      </c>
      <c r="M4" s="7">
        <v>413.7</v>
      </c>
      <c r="N4" s="7">
        <v>433.4</v>
      </c>
      <c r="O4" s="7">
        <v>432.8</v>
      </c>
      <c r="P4" s="7">
        <v>426</v>
      </c>
      <c r="Q4" s="7">
        <v>390</v>
      </c>
      <c r="R4" s="7">
        <v>426.7</v>
      </c>
      <c r="S4" s="7">
        <v>432.3</v>
      </c>
      <c r="T4" s="7">
        <v>412.3</v>
      </c>
      <c r="U4" s="7">
        <v>421.4</v>
      </c>
      <c r="V4" s="7">
        <v>417.7</v>
      </c>
      <c r="W4" s="7">
        <v>416.2</v>
      </c>
      <c r="X4" s="7">
        <v>417.4</v>
      </c>
      <c r="Y4" s="7">
        <v>444.9</v>
      </c>
      <c r="Z4" s="7">
        <v>454</v>
      </c>
      <c r="AA4" s="7">
        <v>429.2</v>
      </c>
      <c r="AB4" s="7">
        <v>430.1</v>
      </c>
      <c r="AC4" s="7">
        <v>420.6</v>
      </c>
      <c r="AD4" s="7">
        <v>409.2</v>
      </c>
      <c r="AE4" s="7">
        <v>416.2</v>
      </c>
      <c r="AF4" s="7">
        <v>407.6</v>
      </c>
      <c r="AG4" s="7">
        <v>400.6</v>
      </c>
      <c r="AH4" s="30">
        <v>404.1</v>
      </c>
      <c r="AI4" s="7">
        <v>411.1</v>
      </c>
    </row>
    <row r="5" spans="1:35" s="3" customFormat="1" ht="24.95" customHeight="1">
      <c r="A5" s="56"/>
      <c r="B5" s="7" t="s">
        <v>38</v>
      </c>
      <c r="C5" s="7">
        <f>D5+'7月'!C5</f>
        <v>179093.2</v>
      </c>
      <c r="D5" s="7">
        <f t="shared" si="0"/>
        <v>23531.699999999997</v>
      </c>
      <c r="E5" s="7">
        <f>E3+E4</f>
        <v>817.09999999999991</v>
      </c>
      <c r="F5" s="7">
        <f t="shared" ref="F5:AI5" si="1">F3+F4</f>
        <v>794.40000000000009</v>
      </c>
      <c r="G5" s="7">
        <f t="shared" si="1"/>
        <v>790.8</v>
      </c>
      <c r="H5" s="7">
        <f t="shared" si="1"/>
        <v>790.7</v>
      </c>
      <c r="I5" s="7">
        <f t="shared" si="1"/>
        <v>370.4</v>
      </c>
      <c r="J5" s="7">
        <f t="shared" si="1"/>
        <v>380.7</v>
      </c>
      <c r="K5" s="7">
        <f t="shared" si="1"/>
        <v>465.4</v>
      </c>
      <c r="L5" s="7">
        <f t="shared" si="1"/>
        <v>789.7</v>
      </c>
      <c r="M5" s="7">
        <f t="shared" si="1"/>
        <v>782.2</v>
      </c>
      <c r="N5" s="7">
        <f t="shared" si="1"/>
        <v>810.59999999999991</v>
      </c>
      <c r="O5" s="7">
        <f t="shared" si="1"/>
        <v>802.40000000000009</v>
      </c>
      <c r="P5" s="7">
        <f t="shared" si="1"/>
        <v>813.1</v>
      </c>
      <c r="Q5" s="7">
        <f t="shared" si="1"/>
        <v>766.8</v>
      </c>
      <c r="R5" s="7">
        <f t="shared" si="1"/>
        <v>792.3</v>
      </c>
      <c r="S5" s="7">
        <f t="shared" si="1"/>
        <v>814</v>
      </c>
      <c r="T5" s="7">
        <f t="shared" si="1"/>
        <v>790.5</v>
      </c>
      <c r="U5" s="7">
        <f t="shared" si="1"/>
        <v>804.8</v>
      </c>
      <c r="V5" s="7">
        <f t="shared" si="1"/>
        <v>813.9</v>
      </c>
      <c r="W5" s="7">
        <f t="shared" si="1"/>
        <v>794.5</v>
      </c>
      <c r="X5" s="7">
        <f t="shared" si="1"/>
        <v>785.09999999999991</v>
      </c>
      <c r="Y5" s="7">
        <f t="shared" si="1"/>
        <v>834.59999999999991</v>
      </c>
      <c r="Z5" s="7">
        <f t="shared" si="1"/>
        <v>855.9</v>
      </c>
      <c r="AA5" s="7">
        <f t="shared" si="1"/>
        <v>816.8</v>
      </c>
      <c r="AB5" s="7">
        <f t="shared" si="1"/>
        <v>799.1</v>
      </c>
      <c r="AC5" s="7">
        <f t="shared" si="1"/>
        <v>785.6</v>
      </c>
      <c r="AD5" s="7">
        <f t="shared" si="1"/>
        <v>785.9</v>
      </c>
      <c r="AE5" s="7">
        <f t="shared" si="1"/>
        <v>787</v>
      </c>
      <c r="AF5" s="7">
        <f t="shared" si="1"/>
        <v>773</v>
      </c>
      <c r="AG5" s="7">
        <f t="shared" si="1"/>
        <v>776.5</v>
      </c>
      <c r="AH5" s="7">
        <f t="shared" si="1"/>
        <v>773</v>
      </c>
      <c r="AI5" s="7">
        <f t="shared" si="1"/>
        <v>774.90000000000009</v>
      </c>
    </row>
    <row r="6" spans="1:35" s="3" customFormat="1" ht="24.95" customHeight="1">
      <c r="A6" s="56" t="s">
        <v>39</v>
      </c>
      <c r="B6" s="7" t="s">
        <v>40</v>
      </c>
      <c r="C6" s="7">
        <f>D6+'7月'!C6</f>
        <v>38820989</v>
      </c>
      <c r="D6" s="7">
        <f t="shared" si="0"/>
        <v>5176109</v>
      </c>
      <c r="E6" s="7">
        <v>165600</v>
      </c>
      <c r="F6" s="7">
        <v>170400</v>
      </c>
      <c r="G6" s="7">
        <v>177120</v>
      </c>
      <c r="H6" s="7">
        <v>170880</v>
      </c>
      <c r="I6" s="7">
        <v>156000</v>
      </c>
      <c r="J6" s="7">
        <v>117600</v>
      </c>
      <c r="K6" s="7">
        <v>138240</v>
      </c>
      <c r="L6" s="7">
        <v>175200</v>
      </c>
      <c r="M6" s="7">
        <v>174240</v>
      </c>
      <c r="N6" s="7">
        <v>153600</v>
      </c>
      <c r="O6" s="7">
        <v>168960</v>
      </c>
      <c r="P6" s="26">
        <v>165120</v>
      </c>
      <c r="Q6" s="7">
        <v>165360</v>
      </c>
      <c r="R6" s="7">
        <v>171600</v>
      </c>
      <c r="S6" s="7">
        <v>160080</v>
      </c>
      <c r="T6" s="7">
        <v>163800</v>
      </c>
      <c r="U6" s="26">
        <v>174660</v>
      </c>
      <c r="V6" s="7">
        <v>185528</v>
      </c>
      <c r="W6" s="7">
        <v>184508</v>
      </c>
      <c r="X6" s="7">
        <v>175616</v>
      </c>
      <c r="Y6" s="7">
        <v>176902</v>
      </c>
      <c r="Z6" s="7">
        <v>172956</v>
      </c>
      <c r="AA6" s="7">
        <v>168268</v>
      </c>
      <c r="AB6" s="7">
        <v>174082</v>
      </c>
      <c r="AC6" s="7">
        <v>162280</v>
      </c>
      <c r="AD6" s="7">
        <v>168301</v>
      </c>
      <c r="AE6" s="7">
        <v>172712</v>
      </c>
      <c r="AF6" s="7">
        <v>163741</v>
      </c>
      <c r="AG6" s="7">
        <v>160151</v>
      </c>
      <c r="AH6" s="7">
        <v>169754</v>
      </c>
      <c r="AI6" s="7">
        <v>172850</v>
      </c>
    </row>
    <row r="7" spans="1:35" s="3" customFormat="1" ht="24.95" customHeight="1">
      <c r="A7" s="56"/>
      <c r="B7" s="7" t="s">
        <v>41</v>
      </c>
      <c r="C7" s="7">
        <f>D7+'7月'!C7</f>
        <v>35363430</v>
      </c>
      <c r="D7" s="7">
        <f t="shared" si="0"/>
        <v>3983880</v>
      </c>
      <c r="E7" s="7">
        <v>148560</v>
      </c>
      <c r="F7" s="7">
        <v>143760</v>
      </c>
      <c r="G7" s="7">
        <v>146400</v>
      </c>
      <c r="H7" s="7">
        <v>148800</v>
      </c>
      <c r="I7" s="7">
        <v>37440</v>
      </c>
      <c r="J7" s="7">
        <v>0</v>
      </c>
      <c r="K7" s="7">
        <v>13200</v>
      </c>
      <c r="L7" s="7">
        <v>147840</v>
      </c>
      <c r="M7" s="7">
        <v>151680</v>
      </c>
      <c r="N7" s="7">
        <v>156960</v>
      </c>
      <c r="O7" s="7">
        <v>149040</v>
      </c>
      <c r="P7" s="26">
        <v>147600</v>
      </c>
      <c r="Q7" s="7">
        <v>142320</v>
      </c>
      <c r="R7" s="7">
        <v>139200</v>
      </c>
      <c r="S7" s="7">
        <v>141600</v>
      </c>
      <c r="T7" s="7">
        <v>136080</v>
      </c>
      <c r="U7" s="7">
        <v>142080</v>
      </c>
      <c r="V7" s="7">
        <v>133920</v>
      </c>
      <c r="W7" s="7">
        <v>128880</v>
      </c>
      <c r="X7" s="7">
        <v>141120</v>
      </c>
      <c r="Y7" s="7">
        <v>140160</v>
      </c>
      <c r="Z7" s="7">
        <v>137520</v>
      </c>
      <c r="AA7" s="7">
        <v>132480</v>
      </c>
      <c r="AB7" s="7">
        <v>132000</v>
      </c>
      <c r="AC7" s="7">
        <v>136560</v>
      </c>
      <c r="AD7" s="7">
        <v>132480</v>
      </c>
      <c r="AE7" s="7">
        <v>130800</v>
      </c>
      <c r="AF7" s="7">
        <v>132960</v>
      </c>
      <c r="AG7" s="7">
        <v>134640</v>
      </c>
      <c r="AH7" s="7">
        <v>134040</v>
      </c>
      <c r="AI7" s="26">
        <v>143760</v>
      </c>
    </row>
    <row r="8" spans="1:35" s="3" customFormat="1" ht="24.75" customHeight="1">
      <c r="A8" s="56"/>
      <c r="B8" s="7" t="s">
        <v>38</v>
      </c>
      <c r="C8" s="7">
        <f>D8+'7月'!C8</f>
        <v>74184419</v>
      </c>
      <c r="D8" s="7">
        <f t="shared" si="0"/>
        <v>9159989</v>
      </c>
      <c r="E8" s="7">
        <f>E6+E7</f>
        <v>314160</v>
      </c>
      <c r="F8" s="7">
        <f t="shared" ref="F8:AI8" si="2">F6+F7</f>
        <v>314160</v>
      </c>
      <c r="G8" s="7">
        <f t="shared" si="2"/>
        <v>323520</v>
      </c>
      <c r="H8" s="7">
        <f t="shared" si="2"/>
        <v>319680</v>
      </c>
      <c r="I8" s="7">
        <f t="shared" si="2"/>
        <v>193440</v>
      </c>
      <c r="J8" s="7">
        <f t="shared" si="2"/>
        <v>117600</v>
      </c>
      <c r="K8" s="7">
        <f t="shared" si="2"/>
        <v>151440</v>
      </c>
      <c r="L8" s="7">
        <f t="shared" si="2"/>
        <v>323040</v>
      </c>
      <c r="M8" s="7">
        <f t="shared" si="2"/>
        <v>325920</v>
      </c>
      <c r="N8" s="7">
        <f t="shared" si="2"/>
        <v>310560</v>
      </c>
      <c r="O8" s="7">
        <f t="shared" si="2"/>
        <v>318000</v>
      </c>
      <c r="P8" s="7">
        <f t="shared" si="2"/>
        <v>312720</v>
      </c>
      <c r="Q8" s="7">
        <f t="shared" si="2"/>
        <v>307680</v>
      </c>
      <c r="R8" s="7">
        <f t="shared" si="2"/>
        <v>310800</v>
      </c>
      <c r="S8" s="7">
        <f t="shared" si="2"/>
        <v>301680</v>
      </c>
      <c r="T8" s="7">
        <f t="shared" si="2"/>
        <v>299880</v>
      </c>
      <c r="U8" s="7">
        <f t="shared" si="2"/>
        <v>316740</v>
      </c>
      <c r="V8" s="7">
        <f t="shared" si="2"/>
        <v>319448</v>
      </c>
      <c r="W8" s="7">
        <f t="shared" si="2"/>
        <v>313388</v>
      </c>
      <c r="X8" s="7">
        <f t="shared" si="2"/>
        <v>316736</v>
      </c>
      <c r="Y8" s="7">
        <f t="shared" si="2"/>
        <v>317062</v>
      </c>
      <c r="Z8" s="7">
        <f t="shared" si="2"/>
        <v>310476</v>
      </c>
      <c r="AA8" s="7">
        <f t="shared" si="2"/>
        <v>300748</v>
      </c>
      <c r="AB8" s="7">
        <f t="shared" si="2"/>
        <v>306082</v>
      </c>
      <c r="AC8" s="7">
        <f t="shared" si="2"/>
        <v>298840</v>
      </c>
      <c r="AD8" s="7">
        <f t="shared" si="2"/>
        <v>300781</v>
      </c>
      <c r="AE8" s="7">
        <f t="shared" si="2"/>
        <v>303512</v>
      </c>
      <c r="AF8" s="7">
        <f t="shared" si="2"/>
        <v>296701</v>
      </c>
      <c r="AG8" s="7">
        <f t="shared" si="2"/>
        <v>294791</v>
      </c>
      <c r="AH8" s="7">
        <f t="shared" si="2"/>
        <v>303794</v>
      </c>
      <c r="AI8" s="7">
        <f t="shared" si="2"/>
        <v>316610</v>
      </c>
    </row>
    <row r="9" spans="1:35" s="3" customFormat="1" ht="24.95" customHeight="1">
      <c r="A9" s="56" t="s">
        <v>42</v>
      </c>
      <c r="B9" s="7" t="s">
        <v>38</v>
      </c>
      <c r="C9" s="7">
        <f>D9+'7月'!C9</f>
        <v>62209819</v>
      </c>
      <c r="D9" s="7">
        <f t="shared" si="0"/>
        <v>7516529</v>
      </c>
      <c r="E9" s="7">
        <v>258280</v>
      </c>
      <c r="F9" s="7">
        <v>263800</v>
      </c>
      <c r="G9" s="7">
        <v>271440</v>
      </c>
      <c r="H9" s="7">
        <v>264480</v>
      </c>
      <c r="I9" s="7">
        <v>149100</v>
      </c>
      <c r="J9" s="7">
        <v>78380</v>
      </c>
      <c r="K9" s="7">
        <v>110460</v>
      </c>
      <c r="L9" s="7">
        <v>269020</v>
      </c>
      <c r="M9" s="7">
        <v>272240</v>
      </c>
      <c r="N9" s="7">
        <v>255540</v>
      </c>
      <c r="O9" s="7">
        <v>264280</v>
      </c>
      <c r="P9" s="7">
        <v>258500</v>
      </c>
      <c r="Q9" s="7">
        <v>256040</v>
      </c>
      <c r="R9" s="7">
        <v>256280</v>
      </c>
      <c r="S9" s="7">
        <v>248720</v>
      </c>
      <c r="T9" s="7">
        <v>244680</v>
      </c>
      <c r="U9" s="7">
        <v>264000</v>
      </c>
      <c r="V9" s="7">
        <v>263648</v>
      </c>
      <c r="W9" s="7">
        <v>258428</v>
      </c>
      <c r="X9" s="7">
        <v>262756</v>
      </c>
      <c r="Y9" s="7">
        <v>261062</v>
      </c>
      <c r="Z9" s="7">
        <v>256236</v>
      </c>
      <c r="AA9" s="7">
        <v>243208</v>
      </c>
      <c r="AB9" s="7">
        <v>249922</v>
      </c>
      <c r="AC9" s="7">
        <v>243940</v>
      </c>
      <c r="AD9" s="7">
        <v>245201</v>
      </c>
      <c r="AE9" s="7">
        <v>249752</v>
      </c>
      <c r="AF9" s="7">
        <v>244861</v>
      </c>
      <c r="AG9" s="7">
        <v>239111</v>
      </c>
      <c r="AH9" s="7">
        <v>248934</v>
      </c>
      <c r="AI9" s="7">
        <v>264230</v>
      </c>
    </row>
    <row r="10" spans="1:35" s="3" customFormat="1" ht="24.95" customHeight="1">
      <c r="A10" s="56"/>
      <c r="B10" s="6" t="s">
        <v>43</v>
      </c>
      <c r="C10" s="8">
        <f>SUM(C8/C5)</f>
        <v>414.22242162181476</v>
      </c>
      <c r="D10" s="8">
        <f t="shared" ref="D10:AI10" si="3">SUM(D8/D5)</f>
        <v>389.26167680193106</v>
      </c>
      <c r="E10" s="8">
        <f t="shared" si="3"/>
        <v>384.48170358585247</v>
      </c>
      <c r="F10" s="8">
        <f t="shared" si="3"/>
        <v>395.46827794561926</v>
      </c>
      <c r="G10" s="8">
        <f t="shared" si="3"/>
        <v>409.10470409711689</v>
      </c>
      <c r="H10" s="8">
        <f t="shared" si="3"/>
        <v>404.29998735297835</v>
      </c>
      <c r="I10" s="8">
        <f t="shared" si="3"/>
        <v>522.24622030237583</v>
      </c>
      <c r="J10" s="8">
        <f t="shared" si="3"/>
        <v>308.90464933018126</v>
      </c>
      <c r="K10" s="8">
        <f t="shared" si="3"/>
        <v>325.39750752041255</v>
      </c>
      <c r="L10" s="8">
        <f t="shared" si="3"/>
        <v>409.06673420286182</v>
      </c>
      <c r="M10" s="8">
        <f t="shared" si="3"/>
        <v>416.67092815136789</v>
      </c>
      <c r="N10" s="8">
        <f t="shared" si="3"/>
        <v>383.12361213915625</v>
      </c>
      <c r="O10" s="8">
        <f t="shared" si="3"/>
        <v>396.31106679960118</v>
      </c>
      <c r="P10" s="8">
        <f t="shared" si="3"/>
        <v>384.60213995818469</v>
      </c>
      <c r="Q10" s="8">
        <f t="shared" si="3"/>
        <v>401.25195618153367</v>
      </c>
      <c r="R10" s="8">
        <f t="shared" si="3"/>
        <v>392.27565316168119</v>
      </c>
      <c r="S10" s="8">
        <f t="shared" si="3"/>
        <v>370.61425061425064</v>
      </c>
      <c r="T10" s="8">
        <f t="shared" si="3"/>
        <v>379.35483870967744</v>
      </c>
      <c r="U10" s="8">
        <f t="shared" si="3"/>
        <v>393.56361829025849</v>
      </c>
      <c r="V10" s="8">
        <f t="shared" si="3"/>
        <v>392.49047794569361</v>
      </c>
      <c r="W10" s="8">
        <f t="shared" si="3"/>
        <v>394.44682190056642</v>
      </c>
      <c r="X10" s="8">
        <f t="shared" si="3"/>
        <v>403.43395745764877</v>
      </c>
      <c r="Y10" s="8">
        <f t="shared" si="3"/>
        <v>379.89695662592862</v>
      </c>
      <c r="Z10" s="8">
        <f t="shared" si="3"/>
        <v>362.74798457763757</v>
      </c>
      <c r="AA10" s="8">
        <f t="shared" si="3"/>
        <v>368.20274240940256</v>
      </c>
      <c r="AB10" s="8">
        <f t="shared" si="3"/>
        <v>383.03341258916282</v>
      </c>
      <c r="AC10" s="8">
        <f t="shared" si="3"/>
        <v>380.39714867617107</v>
      </c>
      <c r="AD10" s="8">
        <f t="shared" si="3"/>
        <v>382.72172032065151</v>
      </c>
      <c r="AE10" s="8">
        <f t="shared" si="3"/>
        <v>385.65692503176621</v>
      </c>
      <c r="AF10" s="8">
        <f t="shared" si="3"/>
        <v>383.83053040103493</v>
      </c>
      <c r="AG10" s="8">
        <f t="shared" si="3"/>
        <v>379.64069542820346</v>
      </c>
      <c r="AH10" s="8">
        <f t="shared" si="3"/>
        <v>393.006468305304</v>
      </c>
      <c r="AI10" s="8">
        <f t="shared" si="3"/>
        <v>408.58175248419144</v>
      </c>
    </row>
    <row r="11" spans="1:35" s="3" customFormat="1" ht="24.95" customHeight="1">
      <c r="A11" s="56"/>
      <c r="B11" s="9" t="s">
        <v>44</v>
      </c>
      <c r="C11" s="8">
        <f>(C8-C16)/C5</f>
        <v>347.43819977531251</v>
      </c>
      <c r="D11" s="8">
        <f>(D8-D16)/D5</f>
        <v>319.42141876702493</v>
      </c>
      <c r="E11" s="8">
        <f>(E8-E16)/E5</f>
        <v>316.09350140741651</v>
      </c>
      <c r="F11" s="8">
        <f>(F8-F16)/F5</f>
        <v>332.07452165156087</v>
      </c>
      <c r="G11" s="8">
        <f>(G8-G16)/G5</f>
        <v>343.24734446130503</v>
      </c>
      <c r="H11" s="8">
        <f>(H8-H16)/H5</f>
        <v>334.48842797521183</v>
      </c>
      <c r="I11" s="8">
        <f>(I8-I16)/I5</f>
        <v>402.53779697624191</v>
      </c>
      <c r="J11" s="8">
        <f>(J8-J16)/J5</f>
        <v>205.88389808247965</v>
      </c>
      <c r="K11" s="8">
        <f>(K8-K16)/K5</f>
        <v>237.3442200257843</v>
      </c>
      <c r="L11" s="8">
        <f>(L8-L16)/L5</f>
        <v>340.66101051032035</v>
      </c>
      <c r="M11" s="8">
        <f>(M8-M16)/M5</f>
        <v>348.04397852211707</v>
      </c>
      <c r="N11" s="8">
        <f>(N8-N16)/N5</f>
        <v>315.24796447076244</v>
      </c>
      <c r="O11" s="8">
        <f>(O8-O16)/O5</f>
        <v>329.36191425722825</v>
      </c>
      <c r="P11" s="8">
        <f>(P8-P16)/P5</f>
        <v>317.91907514450867</v>
      </c>
      <c r="Q11" s="8">
        <f>(Q8-Q16)/Q5</f>
        <v>333.90714658320292</v>
      </c>
      <c r="R11" s="8">
        <f>(R8-R16)/R5</f>
        <v>323.46333459548151</v>
      </c>
      <c r="S11" s="8">
        <f>(S8-S16)/S5</f>
        <v>305.55282555282554</v>
      </c>
      <c r="T11" s="8">
        <f>(T8-T16)/T5</f>
        <v>309.5256166982922</v>
      </c>
      <c r="U11" s="8">
        <f>(U8-U16)/U5</f>
        <v>328.03180914512922</v>
      </c>
      <c r="V11" s="8">
        <f>(V8-V16)/V5</f>
        <v>323.93168693942744</v>
      </c>
      <c r="W11" s="8">
        <f>(W8-W16)/W5</f>
        <v>325.2712397734424</v>
      </c>
      <c r="X11" s="8">
        <f>(X8-X16)/X5</f>
        <v>334.67838491911863</v>
      </c>
      <c r="Y11" s="8">
        <f>(Y8-Y16)/Y5</f>
        <v>312.79894560268394</v>
      </c>
      <c r="Z11" s="8">
        <f>(Z8-Z16)/Z5</f>
        <v>299.37609533824048</v>
      </c>
      <c r="AA11" s="8">
        <f>(AA8-AA16)/AA5</f>
        <v>297.75710088148873</v>
      </c>
      <c r="AB11" s="8">
        <f>(AB8-AB16)/AB5</f>
        <v>312.75434864222251</v>
      </c>
      <c r="AC11" s="8">
        <f>(AC8-AC16)/AC5</f>
        <v>310.51425661914459</v>
      </c>
      <c r="AD11" s="8">
        <f>(AD8-AD16)/AD5</f>
        <v>312.00025448530346</v>
      </c>
      <c r="AE11" s="8">
        <f>(AE8-AE16)/AE5</f>
        <v>317.34688691232526</v>
      </c>
      <c r="AF11" s="8">
        <f>(AF8-AF16)/AF5</f>
        <v>316.76714100905565</v>
      </c>
      <c r="AG11" s="8">
        <f>(AG8-AG16)/AG5</f>
        <v>307.93432066967159</v>
      </c>
      <c r="AH11" s="8">
        <f>(AH8-AH16)/AH5</f>
        <v>322.03622250970244</v>
      </c>
      <c r="AI11" s="8">
        <f>(AI8-AI16)/AI5</f>
        <v>340.98593366886047</v>
      </c>
    </row>
    <row r="12" spans="1:35" s="3" customFormat="1" ht="24.95" customHeight="1">
      <c r="A12" s="56"/>
      <c r="B12" s="6" t="s">
        <v>45</v>
      </c>
      <c r="C12" s="8">
        <f>D12+'7月'!C12</f>
        <v>187813.17999999996</v>
      </c>
      <c r="D12" s="8">
        <f t="shared" ref="D12:D16" si="4">SUM(E12:AI12)</f>
        <v>25026.5</v>
      </c>
      <c r="E12" s="7">
        <v>841.74</v>
      </c>
      <c r="F12" s="7">
        <v>821.9</v>
      </c>
      <c r="G12" s="7">
        <v>806.26</v>
      </c>
      <c r="H12" s="7">
        <v>836.84</v>
      </c>
      <c r="I12" s="7">
        <v>876.06</v>
      </c>
      <c r="J12" s="7">
        <v>800.12</v>
      </c>
      <c r="K12" s="7">
        <v>801.94</v>
      </c>
      <c r="L12" s="7">
        <v>876.38</v>
      </c>
      <c r="M12" s="7">
        <v>760.88</v>
      </c>
      <c r="N12" s="7">
        <v>759.1</v>
      </c>
      <c r="O12" s="7">
        <v>769.34</v>
      </c>
      <c r="P12" s="7">
        <v>699.78</v>
      </c>
      <c r="Q12" s="7">
        <v>869.4</v>
      </c>
      <c r="R12" s="7">
        <v>796.08</v>
      </c>
      <c r="S12" s="7">
        <v>817.48</v>
      </c>
      <c r="T12" s="7">
        <v>786.12</v>
      </c>
      <c r="U12" s="7">
        <v>774.22</v>
      </c>
      <c r="V12" s="7">
        <v>807.74</v>
      </c>
      <c r="W12" s="7">
        <v>835.32</v>
      </c>
      <c r="X12" s="7">
        <v>764.72</v>
      </c>
      <c r="Y12" s="7">
        <v>777.84</v>
      </c>
      <c r="Z12" s="7">
        <v>806.78</v>
      </c>
      <c r="AA12" s="7">
        <v>773.18</v>
      </c>
      <c r="AB12" s="7">
        <v>832.88</v>
      </c>
      <c r="AC12" s="7">
        <v>811.18</v>
      </c>
      <c r="AD12" s="12">
        <v>803.5</v>
      </c>
      <c r="AE12" s="7">
        <v>740.18</v>
      </c>
      <c r="AF12" s="7">
        <v>802.78</v>
      </c>
      <c r="AG12" s="7">
        <v>787.7</v>
      </c>
      <c r="AH12" s="12">
        <v>836.2</v>
      </c>
      <c r="AI12" s="7">
        <v>952.86</v>
      </c>
    </row>
    <row r="13" spans="1:35" s="3" customFormat="1" ht="24.75" customHeight="1">
      <c r="A13" s="58" t="s">
        <v>46</v>
      </c>
      <c r="B13" s="6" t="s">
        <v>36</v>
      </c>
      <c r="C13" s="8">
        <f>D13+'7月'!C13</f>
        <v>213238</v>
      </c>
      <c r="D13" s="10">
        <f t="shared" si="4"/>
        <v>29449</v>
      </c>
      <c r="E13" s="7">
        <f>324+311+343</f>
        <v>978</v>
      </c>
      <c r="F13" s="7">
        <f>293+306+328</f>
        <v>927</v>
      </c>
      <c r="G13" s="7">
        <f>323+287+326</f>
        <v>936</v>
      </c>
      <c r="H13" s="7">
        <f>338+328+325</f>
        <v>991</v>
      </c>
      <c r="I13" s="7">
        <f>326+326+304</f>
        <v>956</v>
      </c>
      <c r="J13" s="7">
        <f>326+288+298</f>
        <v>912</v>
      </c>
      <c r="K13" s="7">
        <f>296+300+307</f>
        <v>903</v>
      </c>
      <c r="L13" s="7">
        <f>340+307+327</f>
        <v>974</v>
      </c>
      <c r="M13" s="20">
        <f>305+302+336</f>
        <v>943</v>
      </c>
      <c r="N13" s="7">
        <f>328+327+285</f>
        <v>940</v>
      </c>
      <c r="O13" s="7">
        <f>342+313+288</f>
        <v>943</v>
      </c>
      <c r="P13" s="20">
        <f>342+282+338</f>
        <v>962</v>
      </c>
      <c r="Q13" s="7">
        <f>306+333+315</f>
        <v>954</v>
      </c>
      <c r="R13" s="7">
        <f>304+329+301</f>
        <v>934</v>
      </c>
      <c r="S13" s="7">
        <f>343+309+339</f>
        <v>991</v>
      </c>
      <c r="T13" s="7">
        <f>351+290+343</f>
        <v>984</v>
      </c>
      <c r="U13" s="7">
        <f>342+353+309</f>
        <v>1004</v>
      </c>
      <c r="V13" s="7">
        <f>296+347+308</f>
        <v>951</v>
      </c>
      <c r="W13" s="7">
        <f>337+298+297</f>
        <v>932</v>
      </c>
      <c r="X13" s="7">
        <f>338+310+343</f>
        <v>991</v>
      </c>
      <c r="Y13" s="7">
        <f>313+357+342</f>
        <v>1012</v>
      </c>
      <c r="Z13" s="7">
        <f>307+347+286</f>
        <v>940</v>
      </c>
      <c r="AA13" s="7">
        <f>320+285+306</f>
        <v>911</v>
      </c>
      <c r="AB13" s="7">
        <f>334+277+334</f>
        <v>945</v>
      </c>
      <c r="AC13" s="7">
        <f>296+335+277</f>
        <v>908</v>
      </c>
      <c r="AD13" s="7">
        <f>293+341+292</f>
        <v>926</v>
      </c>
      <c r="AE13" s="7">
        <f>329+305+317</f>
        <v>951</v>
      </c>
      <c r="AF13" s="7">
        <f>329+296+320</f>
        <v>945</v>
      </c>
      <c r="AG13" s="7">
        <f>288+308+336</f>
        <v>932</v>
      </c>
      <c r="AH13" s="7">
        <f>280+300+319</f>
        <v>899</v>
      </c>
      <c r="AI13" s="7">
        <f>340+310+324</f>
        <v>974</v>
      </c>
    </row>
    <row r="14" spans="1:35" s="3" customFormat="1" ht="25.5" customHeight="1">
      <c r="A14" s="59"/>
      <c r="B14" s="6" t="s">
        <v>37</v>
      </c>
      <c r="C14" s="8">
        <f>D14+'7月'!C14</f>
        <v>244197</v>
      </c>
      <c r="D14" s="10">
        <f t="shared" si="4"/>
        <v>30926</v>
      </c>
      <c r="E14" s="7">
        <f>370+355+333</f>
        <v>1058</v>
      </c>
      <c r="F14" s="7">
        <f>383+322+393</f>
        <v>1098</v>
      </c>
      <c r="G14" s="7">
        <f>369+369+382</f>
        <v>1120</v>
      </c>
      <c r="H14" s="7">
        <f>394+358+325</f>
        <v>1077</v>
      </c>
      <c r="I14" s="7">
        <v>292</v>
      </c>
      <c r="J14" s="7">
        <v>0</v>
      </c>
      <c r="K14" s="7">
        <v>120</v>
      </c>
      <c r="L14" s="7">
        <f>351+372+392</f>
        <v>1115</v>
      </c>
      <c r="M14" s="20">
        <f>364+380+417</f>
        <v>1161</v>
      </c>
      <c r="N14" s="7">
        <f>409+397+402</f>
        <v>1208</v>
      </c>
      <c r="O14" s="7">
        <f>401+395+384</f>
        <v>1180</v>
      </c>
      <c r="P14" s="20">
        <f>372+366+362</f>
        <v>1100</v>
      </c>
      <c r="Q14" s="7">
        <f>373+370+367</f>
        <v>1110</v>
      </c>
      <c r="R14" s="7">
        <f>347+369+359</f>
        <v>1075</v>
      </c>
      <c r="S14" s="7">
        <f>380+368+373</f>
        <v>1121</v>
      </c>
      <c r="T14" s="7">
        <f>378+354+379</f>
        <v>1111</v>
      </c>
      <c r="U14" s="7">
        <f>385+386+335</f>
        <v>1106</v>
      </c>
      <c r="V14" s="7">
        <f>361+374+348</f>
        <v>1083</v>
      </c>
      <c r="W14" s="7">
        <f>370+356+360</f>
        <v>1086</v>
      </c>
      <c r="X14" s="7">
        <f>371+343+359</f>
        <v>1073</v>
      </c>
      <c r="Y14" s="7">
        <f>339+366+353</f>
        <v>1058</v>
      </c>
      <c r="Z14" s="7">
        <f>352+368+357</f>
        <v>1077</v>
      </c>
      <c r="AA14" s="7">
        <f>353+337+350</f>
        <v>1040</v>
      </c>
      <c r="AB14" s="7">
        <f>367+343+373</f>
        <v>1083</v>
      </c>
      <c r="AC14" s="7">
        <f>362+379+337</f>
        <v>1078</v>
      </c>
      <c r="AD14" s="7">
        <f>350+364+345</f>
        <v>1059</v>
      </c>
      <c r="AE14" s="7">
        <f>360+345+355</f>
        <v>1060</v>
      </c>
      <c r="AF14" s="7">
        <f>355+334+348</f>
        <v>1037</v>
      </c>
      <c r="AG14" s="7">
        <f>338+342+333</f>
        <v>1013</v>
      </c>
      <c r="AH14" s="7">
        <f>336+328+356</f>
        <v>1020</v>
      </c>
      <c r="AI14" s="7">
        <f>388+344+375</f>
        <v>1107</v>
      </c>
    </row>
    <row r="15" spans="1:35" s="3" customFormat="1" ht="24" customHeight="1">
      <c r="A15" s="60"/>
      <c r="B15" s="7" t="s">
        <v>38</v>
      </c>
      <c r="C15" s="8">
        <f>D15+'7月'!C15</f>
        <v>457435</v>
      </c>
      <c r="D15" s="7">
        <f t="shared" si="4"/>
        <v>60375</v>
      </c>
      <c r="E15" s="7">
        <f>E13+E14</f>
        <v>2036</v>
      </c>
      <c r="F15" s="7">
        <f t="shared" ref="F15:AI15" si="5">F13+F14</f>
        <v>2025</v>
      </c>
      <c r="G15" s="7">
        <f t="shared" si="5"/>
        <v>2056</v>
      </c>
      <c r="H15" s="7">
        <f t="shared" si="5"/>
        <v>2068</v>
      </c>
      <c r="I15" s="7">
        <f t="shared" si="5"/>
        <v>1248</v>
      </c>
      <c r="J15" s="7">
        <f t="shared" si="5"/>
        <v>912</v>
      </c>
      <c r="K15" s="7">
        <f t="shared" si="5"/>
        <v>1023</v>
      </c>
      <c r="L15" s="7">
        <f t="shared" si="5"/>
        <v>2089</v>
      </c>
      <c r="M15" s="7">
        <f t="shared" si="5"/>
        <v>2104</v>
      </c>
      <c r="N15" s="7">
        <f t="shared" si="5"/>
        <v>2148</v>
      </c>
      <c r="O15" s="7">
        <f t="shared" si="5"/>
        <v>2123</v>
      </c>
      <c r="P15" s="7">
        <f t="shared" si="5"/>
        <v>2062</v>
      </c>
      <c r="Q15" s="7">
        <f t="shared" si="5"/>
        <v>2064</v>
      </c>
      <c r="R15" s="7">
        <f t="shared" si="5"/>
        <v>2009</v>
      </c>
      <c r="S15" s="7">
        <f t="shared" si="5"/>
        <v>2112</v>
      </c>
      <c r="T15" s="7">
        <f t="shared" si="5"/>
        <v>2095</v>
      </c>
      <c r="U15" s="7">
        <f t="shared" si="5"/>
        <v>2110</v>
      </c>
      <c r="V15" s="7">
        <f t="shared" si="5"/>
        <v>2034</v>
      </c>
      <c r="W15" s="7">
        <f t="shared" si="5"/>
        <v>2018</v>
      </c>
      <c r="X15" s="7">
        <f t="shared" si="5"/>
        <v>2064</v>
      </c>
      <c r="Y15" s="7">
        <f t="shared" si="5"/>
        <v>2070</v>
      </c>
      <c r="Z15" s="7">
        <f t="shared" si="5"/>
        <v>2017</v>
      </c>
      <c r="AA15" s="7">
        <f t="shared" si="5"/>
        <v>1951</v>
      </c>
      <c r="AB15" s="7">
        <f t="shared" si="5"/>
        <v>2028</v>
      </c>
      <c r="AC15" s="7">
        <f t="shared" si="5"/>
        <v>1986</v>
      </c>
      <c r="AD15" s="7">
        <f t="shared" si="5"/>
        <v>1985</v>
      </c>
      <c r="AE15" s="7">
        <f t="shared" si="5"/>
        <v>2011</v>
      </c>
      <c r="AF15" s="7">
        <f t="shared" si="5"/>
        <v>1982</v>
      </c>
      <c r="AG15" s="7">
        <f t="shared" si="5"/>
        <v>1945</v>
      </c>
      <c r="AH15" s="7">
        <f t="shared" si="5"/>
        <v>1919</v>
      </c>
      <c r="AI15" s="7">
        <f t="shared" si="5"/>
        <v>2081</v>
      </c>
    </row>
    <row r="16" spans="1:35" s="3" customFormat="1" ht="24.75" customHeight="1">
      <c r="A16" s="56" t="s">
        <v>47</v>
      </c>
      <c r="B16" s="7" t="s">
        <v>38</v>
      </c>
      <c r="C16" s="8">
        <f>D16+'7月'!C16</f>
        <v>11960600</v>
      </c>
      <c r="D16" s="7">
        <f t="shared" si="4"/>
        <v>1643460</v>
      </c>
      <c r="E16" s="7">
        <v>55880</v>
      </c>
      <c r="F16" s="7">
        <v>50360</v>
      </c>
      <c r="G16" s="7">
        <v>52080</v>
      </c>
      <c r="H16" s="7">
        <v>55200</v>
      </c>
      <c r="I16" s="7">
        <v>44340</v>
      </c>
      <c r="J16" s="7">
        <v>39220</v>
      </c>
      <c r="K16" s="7">
        <v>40980</v>
      </c>
      <c r="L16" s="7">
        <v>54020</v>
      </c>
      <c r="M16" s="7">
        <v>53680</v>
      </c>
      <c r="N16" s="7">
        <v>55020</v>
      </c>
      <c r="O16" s="7">
        <v>53720</v>
      </c>
      <c r="P16" s="7">
        <v>54220</v>
      </c>
      <c r="Q16" s="7">
        <v>51640</v>
      </c>
      <c r="R16" s="7">
        <v>54520</v>
      </c>
      <c r="S16" s="7">
        <v>52960</v>
      </c>
      <c r="T16" s="7">
        <v>55200</v>
      </c>
      <c r="U16" s="7">
        <v>52740</v>
      </c>
      <c r="V16" s="7">
        <v>55800</v>
      </c>
      <c r="W16" s="7">
        <v>54960</v>
      </c>
      <c r="X16" s="7">
        <v>53980</v>
      </c>
      <c r="Y16" s="7">
        <v>56000</v>
      </c>
      <c r="Z16" s="7">
        <v>54240</v>
      </c>
      <c r="AA16" s="7">
        <v>57540</v>
      </c>
      <c r="AB16" s="7">
        <v>56160</v>
      </c>
      <c r="AC16" s="7">
        <v>54900</v>
      </c>
      <c r="AD16" s="7">
        <v>55580</v>
      </c>
      <c r="AE16" s="7">
        <v>53760</v>
      </c>
      <c r="AF16" s="7">
        <v>51840</v>
      </c>
      <c r="AG16" s="7">
        <v>55680</v>
      </c>
      <c r="AH16" s="7">
        <v>54860</v>
      </c>
      <c r="AI16" s="7">
        <v>52380</v>
      </c>
    </row>
    <row r="17" spans="1:35" s="3" customFormat="1" ht="24.95" customHeight="1">
      <c r="A17" s="56"/>
      <c r="B17" s="6" t="s">
        <v>48</v>
      </c>
      <c r="C17" s="11">
        <f>SUM(C16/C8)</f>
        <v>0.16122792577239164</v>
      </c>
      <c r="D17" s="11">
        <f>SUM(D16/D8)</f>
        <v>0.17941724602507711</v>
      </c>
      <c r="E17" s="11">
        <f>SUM(E16/E8)</f>
        <v>0.17787114845938376</v>
      </c>
      <c r="F17" s="11">
        <f>SUM(F16/F8)</f>
        <v>0.16030048382989559</v>
      </c>
      <c r="G17" s="11">
        <f>SUM(G16/G8)</f>
        <v>0.16097922848664689</v>
      </c>
      <c r="H17" s="11">
        <f>SUM(H16/H8)</f>
        <v>0.17267267267267267</v>
      </c>
      <c r="I17" s="11">
        <f>SUM(I16/I8)</f>
        <v>0.22921836228287842</v>
      </c>
      <c r="J17" s="11">
        <f>SUM(J16/J8)</f>
        <v>0.33350340136054424</v>
      </c>
      <c r="K17" s="11">
        <f>SUM(K16/K8)</f>
        <v>0.27060221870047546</v>
      </c>
      <c r="L17" s="11">
        <f>SUM(L16/L8)</f>
        <v>0.1672238732045567</v>
      </c>
      <c r="M17" s="11">
        <f>SUM(M16/M8)</f>
        <v>0.16470299459990181</v>
      </c>
      <c r="N17" s="11">
        <f>SUM(N16/N8)</f>
        <v>0.17716383307573416</v>
      </c>
      <c r="O17" s="11">
        <f>SUM(O16/O8)</f>
        <v>0.1689308176100629</v>
      </c>
      <c r="P17" s="11">
        <f>SUM(P16/P8)</f>
        <v>0.17338193911486313</v>
      </c>
      <c r="Q17" s="11">
        <f>SUM(Q16/Q8)</f>
        <v>0.16783671346853873</v>
      </c>
      <c r="R17" s="11">
        <f>SUM(R16/R8)</f>
        <v>0.17541827541827543</v>
      </c>
      <c r="S17" s="11">
        <f>SUM(S16/S8)</f>
        <v>0.17555025192256696</v>
      </c>
      <c r="T17" s="11">
        <f>SUM(T16/T8)</f>
        <v>0.18407362945178071</v>
      </c>
      <c r="U17" s="11">
        <f>SUM(U16/U8)</f>
        <v>0.16650880848645577</v>
      </c>
      <c r="V17" s="11">
        <f>SUM(V16/V8)</f>
        <v>0.17467631664621472</v>
      </c>
      <c r="W17" s="11">
        <f>SUM(W16/W8)</f>
        <v>0.17537365821282244</v>
      </c>
      <c r="X17" s="11">
        <f>SUM(X16/X8)</f>
        <v>0.17042584360476865</v>
      </c>
      <c r="Y17" s="11">
        <f>SUM(Y16/Y8)</f>
        <v>0.1766216071304666</v>
      </c>
      <c r="Z17" s="11">
        <f>SUM(Z16/Z8)</f>
        <v>0.17469949368067098</v>
      </c>
      <c r="AA17" s="11">
        <f>SUM(AA16/AA8)</f>
        <v>0.19132296806628807</v>
      </c>
      <c r="AB17" s="11">
        <f>SUM(AB16/AB8)</f>
        <v>0.18348024385622153</v>
      </c>
      <c r="AC17" s="11">
        <f>SUM(AC16/AC8)</f>
        <v>0.18371034667380537</v>
      </c>
      <c r="AD17" s="11">
        <f>SUM(AD16/AD8)</f>
        <v>0.18478560813349248</v>
      </c>
      <c r="AE17" s="11">
        <f>SUM(AE16/AE8)</f>
        <v>0.17712643981127599</v>
      </c>
      <c r="AF17" s="11">
        <f>SUM(AF16/AF8)</f>
        <v>0.17472135247269135</v>
      </c>
      <c r="AG17" s="11">
        <f>SUM(AG16/AG8)</f>
        <v>0.18887957909162761</v>
      </c>
      <c r="AH17" s="11">
        <f>SUM(AH16/AH8)</f>
        <v>0.18058289498805111</v>
      </c>
      <c r="AI17" s="11">
        <f>SUM(AI16/AI8)</f>
        <v>0.16544013139193328</v>
      </c>
    </row>
    <row r="18" spans="1:35" s="3" customFormat="1" ht="24.95" customHeight="1">
      <c r="A18" s="13"/>
      <c r="B18" s="13" t="s">
        <v>49</v>
      </c>
      <c r="C18" s="7">
        <f>D18+'7月'!C18</f>
        <v>62</v>
      </c>
      <c r="D18" s="7">
        <f>COUNT(E18:AI18)</f>
        <v>31</v>
      </c>
      <c r="E18" s="14">
        <v>5600</v>
      </c>
      <c r="F18" s="14">
        <v>5300</v>
      </c>
      <c r="G18" s="14">
        <v>5300</v>
      </c>
      <c r="H18" s="14">
        <v>5100</v>
      </c>
      <c r="I18" s="14">
        <v>5600</v>
      </c>
      <c r="J18" s="7">
        <v>6000</v>
      </c>
      <c r="K18" s="14">
        <v>6100</v>
      </c>
      <c r="L18" s="14">
        <v>6100</v>
      </c>
      <c r="M18" s="7">
        <v>5800</v>
      </c>
      <c r="N18" s="7">
        <v>5700</v>
      </c>
      <c r="O18" s="7">
        <v>5600</v>
      </c>
      <c r="P18" s="7">
        <v>5200</v>
      </c>
      <c r="Q18" s="7">
        <v>5300</v>
      </c>
      <c r="R18" s="7">
        <v>5200</v>
      </c>
      <c r="S18" s="7">
        <v>5200</v>
      </c>
      <c r="T18" s="7">
        <v>5100</v>
      </c>
      <c r="U18" s="7">
        <v>5000</v>
      </c>
      <c r="V18" s="7">
        <v>4700</v>
      </c>
      <c r="W18" s="7">
        <v>4600</v>
      </c>
      <c r="X18" s="7">
        <v>4500</v>
      </c>
      <c r="Y18" s="7">
        <v>4400</v>
      </c>
      <c r="Z18" s="7">
        <v>4300</v>
      </c>
      <c r="AA18" s="7">
        <v>4100</v>
      </c>
      <c r="AB18" s="7">
        <v>4000</v>
      </c>
      <c r="AC18" s="7">
        <v>3800</v>
      </c>
      <c r="AD18" s="7">
        <v>3800</v>
      </c>
      <c r="AE18" s="7">
        <v>3700</v>
      </c>
      <c r="AF18" s="7">
        <v>3700</v>
      </c>
      <c r="AG18" s="7">
        <v>3400</v>
      </c>
      <c r="AH18" s="7">
        <v>3300</v>
      </c>
      <c r="AI18" s="7">
        <v>3400</v>
      </c>
    </row>
    <row r="19" spans="1:35" s="3" customFormat="1" ht="24.95" customHeight="1">
      <c r="A19" s="61" t="s">
        <v>50</v>
      </c>
      <c r="B19" s="13" t="s">
        <v>51</v>
      </c>
      <c r="C19" s="7">
        <f>D19+'7月'!C19</f>
        <v>7352.22</v>
      </c>
      <c r="D19" s="7">
        <f t="shared" ref="D19:D28" si="6">SUM(E19:AI19)</f>
        <v>0</v>
      </c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28"/>
      <c r="T19" s="28"/>
      <c r="U19" s="28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</row>
    <row r="20" spans="1:35" s="3" customFormat="1" ht="24.95" customHeight="1">
      <c r="A20" s="62"/>
      <c r="B20" s="13" t="s">
        <v>52</v>
      </c>
      <c r="C20" s="7">
        <f>D20+'7月'!C20</f>
        <v>74899.72</v>
      </c>
      <c r="D20" s="7">
        <f t="shared" si="6"/>
        <v>10972.38</v>
      </c>
      <c r="E20" s="15">
        <v>356.9</v>
      </c>
      <c r="F20" s="15">
        <v>350.08</v>
      </c>
      <c r="G20" s="15">
        <v>354.14</v>
      </c>
      <c r="H20" s="15">
        <v>369.68</v>
      </c>
      <c r="I20" s="15">
        <v>409.52</v>
      </c>
      <c r="J20" s="15">
        <v>331.84</v>
      </c>
      <c r="K20" s="15">
        <v>335.86</v>
      </c>
      <c r="L20" s="15">
        <v>355.92</v>
      </c>
      <c r="M20" s="15">
        <v>296.38</v>
      </c>
      <c r="N20" s="15">
        <v>370.74</v>
      </c>
      <c r="O20" s="15">
        <v>366.6</v>
      </c>
      <c r="P20" s="15">
        <v>303.08</v>
      </c>
      <c r="Q20" s="15">
        <v>390.68</v>
      </c>
      <c r="R20" s="15">
        <v>354.94</v>
      </c>
      <c r="S20" s="28">
        <v>342.2</v>
      </c>
      <c r="T20" s="28">
        <v>340.24</v>
      </c>
      <c r="U20" s="28">
        <v>364</v>
      </c>
      <c r="V20" s="15">
        <v>392.78</v>
      </c>
      <c r="W20" s="15">
        <v>374.42</v>
      </c>
      <c r="X20" s="15">
        <v>342.58</v>
      </c>
      <c r="Y20" s="15">
        <v>328.92</v>
      </c>
      <c r="Z20" s="15">
        <v>346.84</v>
      </c>
      <c r="AA20" s="15">
        <v>367.4</v>
      </c>
      <c r="AB20" s="15">
        <v>361.08</v>
      </c>
      <c r="AC20" s="15">
        <v>403.46</v>
      </c>
      <c r="AD20" s="15">
        <v>335.36</v>
      </c>
      <c r="AE20" s="15">
        <v>342.08</v>
      </c>
      <c r="AF20" s="15">
        <v>336.88</v>
      </c>
      <c r="AG20" s="15">
        <v>363.86</v>
      </c>
      <c r="AH20" s="15">
        <v>322.26</v>
      </c>
      <c r="AI20" s="15">
        <v>361.66</v>
      </c>
    </row>
    <row r="21" spans="1:35" s="3" customFormat="1" ht="24.95" customHeight="1">
      <c r="A21" s="62"/>
      <c r="B21" s="13" t="s">
        <v>53</v>
      </c>
      <c r="C21" s="7">
        <f>D21+'7月'!C21</f>
        <v>0</v>
      </c>
      <c r="D21" s="7">
        <f t="shared" si="6"/>
        <v>0</v>
      </c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28"/>
      <c r="T21" s="28"/>
      <c r="U21" s="28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</row>
    <row r="22" spans="1:35" s="3" customFormat="1" ht="24.95" customHeight="1">
      <c r="A22" s="62"/>
      <c r="B22" s="13" t="s">
        <v>54</v>
      </c>
      <c r="C22" s="7">
        <f>D22+'7月'!C22</f>
        <v>0</v>
      </c>
      <c r="D22" s="7">
        <f t="shared" si="6"/>
        <v>0</v>
      </c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28"/>
      <c r="T22" s="28"/>
      <c r="U22" s="28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</row>
    <row r="23" spans="1:35" s="3" customFormat="1" ht="22.15" customHeight="1">
      <c r="A23" s="62"/>
      <c r="B23" s="13" t="s">
        <v>55</v>
      </c>
      <c r="C23" s="7">
        <f>D23+'7月'!C23</f>
        <v>0</v>
      </c>
      <c r="D23" s="7">
        <f t="shared" si="6"/>
        <v>0</v>
      </c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28"/>
      <c r="T23" s="28"/>
      <c r="U23" s="28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</row>
    <row r="24" spans="1:35" s="3" customFormat="1" ht="22.15" customHeight="1">
      <c r="A24" s="62"/>
      <c r="B24" s="13" t="s">
        <v>56</v>
      </c>
      <c r="C24" s="7">
        <f>D24+'7月'!C24</f>
        <v>8860.74</v>
      </c>
      <c r="D24" s="7">
        <f t="shared" si="6"/>
        <v>257.2</v>
      </c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28"/>
      <c r="T24" s="28"/>
      <c r="U24" s="28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>
        <v>68.48</v>
      </c>
      <c r="AI24" s="15">
        <v>188.72</v>
      </c>
    </row>
    <row r="25" spans="1:35" s="3" customFormat="1" ht="21.75" customHeight="1">
      <c r="A25" s="62"/>
      <c r="B25" s="13" t="s">
        <v>57</v>
      </c>
      <c r="C25" s="7">
        <f>D25+'7月'!C25</f>
        <v>79829.440000000002</v>
      </c>
      <c r="D25" s="7">
        <f t="shared" si="6"/>
        <v>11178.199999999999</v>
      </c>
      <c r="E25" s="15">
        <v>401.56</v>
      </c>
      <c r="F25" s="15">
        <v>374.36</v>
      </c>
      <c r="G25" s="15">
        <v>366.86</v>
      </c>
      <c r="H25" s="15">
        <v>375.68</v>
      </c>
      <c r="I25" s="15">
        <v>382.46</v>
      </c>
      <c r="J25" s="15">
        <v>383.3</v>
      </c>
      <c r="K25" s="15">
        <v>393.92</v>
      </c>
      <c r="L25" s="15">
        <v>429.82</v>
      </c>
      <c r="M25" s="15">
        <v>371.56</v>
      </c>
      <c r="N25" s="15">
        <v>298.52</v>
      </c>
      <c r="O25" s="15">
        <v>326.72000000000003</v>
      </c>
      <c r="P25" s="15">
        <v>311.2</v>
      </c>
      <c r="Q25" s="15">
        <v>399.7</v>
      </c>
      <c r="R25" s="15">
        <v>353.32</v>
      </c>
      <c r="S25" s="28">
        <v>391.84</v>
      </c>
      <c r="T25" s="28">
        <v>365.46</v>
      </c>
      <c r="U25" s="28">
        <v>318.3</v>
      </c>
      <c r="V25" s="15">
        <v>335.34</v>
      </c>
      <c r="W25" s="15">
        <v>366.06</v>
      </c>
      <c r="X25" s="15">
        <v>349.74</v>
      </c>
      <c r="Y25" s="15">
        <v>355.62</v>
      </c>
      <c r="Z25" s="15">
        <v>383.68</v>
      </c>
      <c r="AA25" s="15">
        <v>328.48</v>
      </c>
      <c r="AB25" s="15">
        <v>389.1</v>
      </c>
      <c r="AC25" s="15">
        <v>327.16000000000003</v>
      </c>
      <c r="AD25" s="15">
        <v>377.72</v>
      </c>
      <c r="AE25" s="15">
        <v>313.12</v>
      </c>
      <c r="AF25" s="15">
        <v>384.92</v>
      </c>
      <c r="AG25" s="15">
        <v>351.32</v>
      </c>
      <c r="AH25" s="15">
        <v>348.96</v>
      </c>
      <c r="AI25" s="15">
        <v>322.39999999999998</v>
      </c>
    </row>
    <row r="26" spans="1:35" s="3" customFormat="1" ht="18" customHeight="1">
      <c r="A26" s="62"/>
      <c r="B26" s="13" t="s">
        <v>58</v>
      </c>
      <c r="C26" s="7">
        <f>D26+'7月'!C26</f>
        <v>16871.059999999998</v>
      </c>
      <c r="D26" s="7">
        <f t="shared" si="6"/>
        <v>2618.7200000000003</v>
      </c>
      <c r="E26" s="15">
        <v>83.28</v>
      </c>
      <c r="F26" s="15">
        <v>97.46</v>
      </c>
      <c r="G26" s="15">
        <v>85.26</v>
      </c>
      <c r="H26" s="15">
        <v>91.48</v>
      </c>
      <c r="I26" s="15">
        <v>84.08</v>
      </c>
      <c r="J26" s="15">
        <v>84.98</v>
      </c>
      <c r="K26" s="15">
        <v>72.16</v>
      </c>
      <c r="L26" s="15">
        <v>90.64</v>
      </c>
      <c r="M26" s="15">
        <v>92.94</v>
      </c>
      <c r="N26" s="15">
        <v>89.84</v>
      </c>
      <c r="O26" s="15">
        <v>76.02</v>
      </c>
      <c r="P26" s="15">
        <v>85.5</v>
      </c>
      <c r="Q26" s="15">
        <v>79.02</v>
      </c>
      <c r="R26" s="15">
        <v>87.82</v>
      </c>
      <c r="S26" s="15">
        <v>83.44</v>
      </c>
      <c r="T26" s="28">
        <v>80.42</v>
      </c>
      <c r="U26" s="28">
        <v>91.92</v>
      </c>
      <c r="V26" s="15">
        <v>79.62</v>
      </c>
      <c r="W26" s="15">
        <v>94.84</v>
      </c>
      <c r="X26" s="15">
        <v>72.400000000000006</v>
      </c>
      <c r="Y26" s="15">
        <v>93.3</v>
      </c>
      <c r="Z26" s="15">
        <v>76.260000000000005</v>
      </c>
      <c r="AA26" s="15">
        <v>77.3</v>
      </c>
      <c r="AB26" s="15">
        <v>82.7</v>
      </c>
      <c r="AC26" s="15">
        <v>80.56</v>
      </c>
      <c r="AD26" s="15">
        <v>90.42</v>
      </c>
      <c r="AE26" s="15">
        <v>84.98</v>
      </c>
      <c r="AF26" s="15">
        <v>80.98</v>
      </c>
      <c r="AG26" s="15">
        <v>72.52</v>
      </c>
      <c r="AH26" s="15">
        <v>96.5</v>
      </c>
      <c r="AI26" s="15">
        <v>80.08</v>
      </c>
    </row>
    <row r="27" spans="1:35" s="3" customFormat="1" ht="18" customHeight="1">
      <c r="A27" s="62"/>
      <c r="B27" s="16" t="s">
        <v>59</v>
      </c>
      <c r="C27" s="7">
        <f>D27+'7月'!C27</f>
        <v>0</v>
      </c>
      <c r="D27" s="7">
        <f t="shared" si="6"/>
        <v>0</v>
      </c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28"/>
      <c r="U27" s="28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</row>
    <row r="28" spans="1:35" s="3" customFormat="1" ht="18" customHeight="1">
      <c r="A28" s="62"/>
      <c r="B28" s="16" t="s">
        <v>60</v>
      </c>
      <c r="C28" s="7">
        <f>D28+'7月'!C28</f>
        <v>0</v>
      </c>
      <c r="D28" s="7">
        <f t="shared" si="6"/>
        <v>0</v>
      </c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28"/>
      <c r="U28" s="28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</row>
    <row r="29" spans="1:35" s="3" customFormat="1" ht="18" hidden="1" customHeight="1">
      <c r="A29" s="63"/>
      <c r="B29" s="16"/>
      <c r="C29" s="7">
        <f>D29+'7月'!C29</f>
        <v>0</v>
      </c>
      <c r="D29" s="7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</row>
    <row r="30" spans="1:35" s="3" customFormat="1" ht="26.1" customHeight="1">
      <c r="A30" s="12"/>
      <c r="B30" s="12" t="s">
        <v>61</v>
      </c>
      <c r="C30" s="7">
        <f>D30+'7月'!C30</f>
        <v>187813.18</v>
      </c>
      <c r="D30" s="7">
        <f>SUM(D19:D29)</f>
        <v>25026.5</v>
      </c>
      <c r="E30" s="7">
        <f t="shared" ref="E30:AI30" si="7">SUM(E19:E29)</f>
        <v>841.74</v>
      </c>
      <c r="F30" s="7">
        <f t="shared" si="7"/>
        <v>821.90000000000009</v>
      </c>
      <c r="G30" s="7">
        <f t="shared" si="7"/>
        <v>806.26</v>
      </c>
      <c r="H30" s="7">
        <f t="shared" si="7"/>
        <v>836.84</v>
      </c>
      <c r="I30" s="7">
        <f t="shared" si="7"/>
        <v>876.06000000000006</v>
      </c>
      <c r="J30" s="7">
        <f t="shared" si="7"/>
        <v>800.12</v>
      </c>
      <c r="K30" s="7">
        <f t="shared" si="7"/>
        <v>801.93999999999994</v>
      </c>
      <c r="L30" s="7">
        <f t="shared" si="7"/>
        <v>876.38</v>
      </c>
      <c r="M30" s="7">
        <f t="shared" si="7"/>
        <v>760.88000000000011</v>
      </c>
      <c r="N30" s="7">
        <f t="shared" si="7"/>
        <v>759.1</v>
      </c>
      <c r="O30" s="7">
        <f t="shared" si="7"/>
        <v>769.34</v>
      </c>
      <c r="P30" s="7">
        <f t="shared" si="7"/>
        <v>699.78</v>
      </c>
      <c r="Q30" s="7">
        <f t="shared" si="7"/>
        <v>869.4</v>
      </c>
      <c r="R30" s="7">
        <f t="shared" si="7"/>
        <v>796.07999999999993</v>
      </c>
      <c r="S30" s="7">
        <f t="shared" si="7"/>
        <v>817.48</v>
      </c>
      <c r="T30" s="7">
        <f t="shared" si="7"/>
        <v>786.12</v>
      </c>
      <c r="U30" s="7">
        <f t="shared" si="7"/>
        <v>774.21999999999991</v>
      </c>
      <c r="V30" s="7">
        <f t="shared" si="7"/>
        <v>807.7399999999999</v>
      </c>
      <c r="W30" s="7">
        <f t="shared" si="7"/>
        <v>835.32</v>
      </c>
      <c r="X30" s="7">
        <f t="shared" si="7"/>
        <v>764.71999999999991</v>
      </c>
      <c r="Y30" s="7">
        <f t="shared" si="7"/>
        <v>777.83999999999992</v>
      </c>
      <c r="Z30" s="7">
        <f t="shared" si="7"/>
        <v>806.78</v>
      </c>
      <c r="AA30" s="7">
        <f t="shared" si="7"/>
        <v>773.18</v>
      </c>
      <c r="AB30" s="7">
        <f t="shared" si="7"/>
        <v>832.88000000000011</v>
      </c>
      <c r="AC30" s="7">
        <f t="shared" si="7"/>
        <v>811.18000000000006</v>
      </c>
      <c r="AD30" s="7">
        <f t="shared" si="7"/>
        <v>803.5</v>
      </c>
      <c r="AE30" s="7">
        <f t="shared" si="7"/>
        <v>740.18000000000006</v>
      </c>
      <c r="AF30" s="7">
        <f t="shared" si="7"/>
        <v>802.78</v>
      </c>
      <c r="AG30" s="7">
        <f t="shared" si="7"/>
        <v>787.7</v>
      </c>
      <c r="AH30" s="7">
        <f t="shared" si="7"/>
        <v>836.2</v>
      </c>
      <c r="AI30" s="7">
        <f t="shared" si="7"/>
        <v>952.86</v>
      </c>
    </row>
    <row r="31" spans="1:35" s="3" customFormat="1" ht="24.95" customHeight="1">
      <c r="A31" s="57" t="s">
        <v>62</v>
      </c>
      <c r="B31" s="7" t="s">
        <v>63</v>
      </c>
      <c r="C31" s="7">
        <f>D31+'7月'!C31</f>
        <v>34687.360000000001</v>
      </c>
      <c r="D31" s="7">
        <f t="shared" ref="D31:D37" si="8">SUM(E31:AI31)</f>
        <v>4596.7000000000007</v>
      </c>
      <c r="E31" s="7">
        <v>141.5</v>
      </c>
      <c r="F31" s="7">
        <v>146.86000000000001</v>
      </c>
      <c r="G31" s="7">
        <v>176.22</v>
      </c>
      <c r="H31" s="29">
        <v>179.9</v>
      </c>
      <c r="I31" s="7">
        <v>169.74</v>
      </c>
      <c r="J31" s="7">
        <v>43.96</v>
      </c>
      <c r="K31" s="7">
        <v>103.18</v>
      </c>
      <c r="L31" s="7">
        <v>99.68</v>
      </c>
      <c r="M31" s="7">
        <v>146.91999999999999</v>
      </c>
      <c r="N31" s="7">
        <v>153.04</v>
      </c>
      <c r="O31" s="7">
        <v>150.5</v>
      </c>
      <c r="P31" s="7">
        <v>111.34</v>
      </c>
      <c r="Q31" s="7">
        <v>143.74</v>
      </c>
      <c r="R31" s="7">
        <v>191.42</v>
      </c>
      <c r="S31" s="7">
        <v>24.14</v>
      </c>
      <c r="T31" s="7">
        <v>257.08</v>
      </c>
      <c r="U31" s="29">
        <v>184.3</v>
      </c>
      <c r="V31" s="7">
        <v>159.38</v>
      </c>
      <c r="W31" s="7">
        <v>161</v>
      </c>
      <c r="X31" s="7">
        <v>176.66</v>
      </c>
      <c r="Y31" s="7">
        <v>207.52</v>
      </c>
      <c r="Z31" s="7">
        <v>167.54</v>
      </c>
      <c r="AA31" s="7">
        <v>189.5</v>
      </c>
      <c r="AB31" s="29">
        <v>134.12</v>
      </c>
      <c r="AC31" s="29">
        <v>134.5</v>
      </c>
      <c r="AD31" s="29">
        <v>120.92</v>
      </c>
      <c r="AE31" s="29">
        <v>151.68</v>
      </c>
      <c r="AF31" s="29">
        <v>0</v>
      </c>
      <c r="AG31" s="29">
        <v>215.8</v>
      </c>
      <c r="AH31" s="29">
        <v>197.92</v>
      </c>
      <c r="AI31" s="7">
        <v>156.63999999999999</v>
      </c>
    </row>
    <row r="32" spans="1:35" s="3" customFormat="1" ht="24.95" customHeight="1">
      <c r="A32" s="57"/>
      <c r="B32" s="7" t="s">
        <v>64</v>
      </c>
      <c r="C32" s="7">
        <f>D32+'7月'!C32</f>
        <v>4413.42</v>
      </c>
      <c r="D32" s="7">
        <f t="shared" si="8"/>
        <v>634.22</v>
      </c>
      <c r="E32" s="7">
        <v>22.86</v>
      </c>
      <c r="F32" s="7">
        <v>11.76</v>
      </c>
      <c r="G32" s="7">
        <v>28.12</v>
      </c>
      <c r="H32" s="20">
        <v>23.04</v>
      </c>
      <c r="I32" s="7">
        <v>36.78</v>
      </c>
      <c r="J32" s="7">
        <v>0</v>
      </c>
      <c r="K32" s="7">
        <v>19.62</v>
      </c>
      <c r="L32" s="7">
        <v>19.12</v>
      </c>
      <c r="M32" s="7">
        <v>19.18</v>
      </c>
      <c r="N32" s="7">
        <v>17.86</v>
      </c>
      <c r="O32" s="7">
        <v>17.899999999999999</v>
      </c>
      <c r="P32" s="7">
        <v>4.96</v>
      </c>
      <c r="Q32" s="7">
        <v>22.94</v>
      </c>
      <c r="R32" s="7">
        <v>22.58</v>
      </c>
      <c r="S32" s="7">
        <v>23.7</v>
      </c>
      <c r="T32" s="7">
        <v>9.9</v>
      </c>
      <c r="U32" s="7">
        <v>31.82</v>
      </c>
      <c r="V32" s="7">
        <v>41.68</v>
      </c>
      <c r="W32" s="7">
        <v>0</v>
      </c>
      <c r="X32" s="7">
        <v>21.44</v>
      </c>
      <c r="Y32" s="7">
        <v>5.54</v>
      </c>
      <c r="Z32" s="7">
        <v>38.58</v>
      </c>
      <c r="AA32" s="7">
        <v>18.239999999999998</v>
      </c>
      <c r="AB32" s="20">
        <v>19.28</v>
      </c>
      <c r="AC32" s="20">
        <v>21.58</v>
      </c>
      <c r="AD32" s="20">
        <v>21.82</v>
      </c>
      <c r="AE32" s="20">
        <v>39.9</v>
      </c>
      <c r="AF32" s="20">
        <v>9.94</v>
      </c>
      <c r="AG32" s="20">
        <v>23.24</v>
      </c>
      <c r="AH32" s="20">
        <v>22.12</v>
      </c>
      <c r="AI32" s="7">
        <v>18.72</v>
      </c>
    </row>
    <row r="33" spans="1:35" s="3" customFormat="1" ht="24.95" customHeight="1">
      <c r="A33" s="57"/>
      <c r="B33" s="6" t="s">
        <v>65</v>
      </c>
      <c r="C33" s="7">
        <f>D33+'7月'!C33</f>
        <v>15385</v>
      </c>
      <c r="D33" s="7">
        <f t="shared" si="8"/>
        <v>2579</v>
      </c>
      <c r="E33" s="7">
        <v>0</v>
      </c>
      <c r="F33" s="7">
        <v>249</v>
      </c>
      <c r="G33" s="7">
        <v>0</v>
      </c>
      <c r="H33" s="7">
        <v>244</v>
      </c>
      <c r="I33" s="7">
        <v>0</v>
      </c>
      <c r="J33" s="7">
        <v>0</v>
      </c>
      <c r="K33" s="7">
        <v>183</v>
      </c>
      <c r="L33" s="7">
        <v>0</v>
      </c>
      <c r="M33" s="7">
        <v>206</v>
      </c>
      <c r="N33" s="7">
        <v>0</v>
      </c>
      <c r="O33" s="7">
        <v>0</v>
      </c>
      <c r="P33" s="7">
        <v>202</v>
      </c>
      <c r="Q33" s="7">
        <v>0</v>
      </c>
      <c r="R33" s="7">
        <v>63</v>
      </c>
      <c r="S33" s="7">
        <v>357</v>
      </c>
      <c r="T33" s="7">
        <v>0</v>
      </c>
      <c r="U33" s="7">
        <v>0</v>
      </c>
      <c r="V33" s="7">
        <v>265</v>
      </c>
      <c r="W33" s="7">
        <v>56</v>
      </c>
      <c r="X33" s="7">
        <v>68</v>
      </c>
      <c r="Y33" s="7">
        <v>0</v>
      </c>
      <c r="Z33" s="7">
        <v>0</v>
      </c>
      <c r="AA33" s="7">
        <v>102</v>
      </c>
      <c r="AB33" s="7">
        <v>80</v>
      </c>
      <c r="AC33" s="7">
        <v>136</v>
      </c>
      <c r="AD33" s="7">
        <v>0</v>
      </c>
      <c r="AE33" s="7">
        <v>0</v>
      </c>
      <c r="AF33" s="7">
        <v>0</v>
      </c>
      <c r="AG33" s="7">
        <v>237</v>
      </c>
      <c r="AH33" s="7">
        <v>131</v>
      </c>
      <c r="AI33" s="7">
        <v>0</v>
      </c>
    </row>
    <row r="34" spans="1:35" s="3" customFormat="1" ht="24.95" customHeight="1">
      <c r="A34" s="57"/>
      <c r="B34" s="7" t="s">
        <v>66</v>
      </c>
      <c r="C34" s="7">
        <f>D34+'7月'!C34</f>
        <v>59913</v>
      </c>
      <c r="D34" s="7">
        <f t="shared" si="8"/>
        <v>9703</v>
      </c>
      <c r="E34" s="7">
        <v>334</v>
      </c>
      <c r="F34" s="7">
        <v>62</v>
      </c>
      <c r="G34" s="7">
        <v>124</v>
      </c>
      <c r="H34" s="7">
        <v>275</v>
      </c>
      <c r="I34" s="7">
        <v>295</v>
      </c>
      <c r="J34" s="7">
        <v>359</v>
      </c>
      <c r="K34" s="7">
        <v>300</v>
      </c>
      <c r="L34" s="7">
        <v>307</v>
      </c>
      <c r="M34" s="7">
        <v>333</v>
      </c>
      <c r="N34" s="7">
        <v>319</v>
      </c>
      <c r="O34" s="7">
        <v>348</v>
      </c>
      <c r="P34" s="7">
        <v>301</v>
      </c>
      <c r="Q34" s="7">
        <v>302</v>
      </c>
      <c r="R34" s="7">
        <v>332</v>
      </c>
      <c r="S34" s="7">
        <v>401</v>
      </c>
      <c r="T34" s="7">
        <v>308</v>
      </c>
      <c r="U34" s="7">
        <v>301</v>
      </c>
      <c r="V34" s="7">
        <v>336</v>
      </c>
      <c r="W34" s="7">
        <v>355</v>
      </c>
      <c r="X34" s="7">
        <v>370</v>
      </c>
      <c r="Y34" s="7">
        <v>400</v>
      </c>
      <c r="Z34" s="7">
        <v>425</v>
      </c>
      <c r="AA34" s="7">
        <v>346</v>
      </c>
      <c r="AB34" s="7">
        <v>333</v>
      </c>
      <c r="AC34" s="7">
        <v>321</v>
      </c>
      <c r="AD34" s="7">
        <v>345</v>
      </c>
      <c r="AE34" s="7">
        <v>335</v>
      </c>
      <c r="AF34" s="7">
        <v>332</v>
      </c>
      <c r="AG34" s="7">
        <v>312</v>
      </c>
      <c r="AH34" s="7">
        <v>328</v>
      </c>
      <c r="AI34" s="7">
        <v>164</v>
      </c>
    </row>
    <row r="35" spans="1:35" s="3" customFormat="1" ht="24.95" customHeight="1">
      <c r="A35" s="58" t="s">
        <v>67</v>
      </c>
      <c r="B35" s="7" t="s">
        <v>68</v>
      </c>
      <c r="C35" s="7">
        <f>D35+'7月'!C35</f>
        <v>408.399</v>
      </c>
      <c r="D35" s="7">
        <f t="shared" si="8"/>
        <v>49.09</v>
      </c>
      <c r="E35" s="31">
        <v>1.67</v>
      </c>
      <c r="F35" s="31">
        <v>1.68</v>
      </c>
      <c r="G35" s="31">
        <v>1.698</v>
      </c>
      <c r="H35" s="32">
        <v>1.768</v>
      </c>
      <c r="I35" s="32">
        <v>1.1499999999999999</v>
      </c>
      <c r="J35" s="32">
        <v>0.77600000000000002</v>
      </c>
      <c r="K35" s="32">
        <v>0.84699999999999998</v>
      </c>
      <c r="L35" s="32">
        <v>1.7310000000000001</v>
      </c>
      <c r="M35" s="32">
        <v>1.7330000000000001</v>
      </c>
      <c r="N35" s="32">
        <v>1.722</v>
      </c>
      <c r="O35" s="34">
        <v>1.6559999999999999</v>
      </c>
      <c r="P35" s="32">
        <v>1.633</v>
      </c>
      <c r="Q35" s="32">
        <v>1.6160000000000001</v>
      </c>
      <c r="R35" s="32">
        <v>1.5820000000000001</v>
      </c>
      <c r="S35" s="32">
        <v>1.631</v>
      </c>
      <c r="T35" s="32">
        <v>1.597</v>
      </c>
      <c r="U35" s="34">
        <v>1.6140000000000001</v>
      </c>
      <c r="V35" s="32">
        <v>1.6220000000000001</v>
      </c>
      <c r="W35" s="32">
        <v>1.6</v>
      </c>
      <c r="X35" s="32">
        <v>1.538</v>
      </c>
      <c r="Y35" s="32">
        <v>1.675</v>
      </c>
      <c r="Z35" s="32">
        <v>1.6339999999999999</v>
      </c>
      <c r="AA35" s="32">
        <v>1.659</v>
      </c>
      <c r="AB35" s="32">
        <v>1.657</v>
      </c>
      <c r="AC35" s="32">
        <v>1.57</v>
      </c>
      <c r="AD35" s="32">
        <v>1.6539999999999999</v>
      </c>
      <c r="AE35" s="32">
        <v>1.655</v>
      </c>
      <c r="AF35" s="32">
        <v>1.6559999999999999</v>
      </c>
      <c r="AG35" s="35">
        <v>1.7330000000000001</v>
      </c>
      <c r="AH35" s="32">
        <v>1.5529999999999999</v>
      </c>
      <c r="AI35" s="32">
        <v>1.78</v>
      </c>
    </row>
    <row r="36" spans="1:35" s="3" customFormat="1" ht="24.95" customHeight="1">
      <c r="A36" s="59"/>
      <c r="B36" s="7" t="s">
        <v>69</v>
      </c>
      <c r="C36" s="7">
        <f>D36+'7月'!C36</f>
        <v>1684.7820000000006</v>
      </c>
      <c r="D36" s="7">
        <f t="shared" si="8"/>
        <v>231.21600000000007</v>
      </c>
      <c r="E36" s="33">
        <v>7.835</v>
      </c>
      <c r="F36" s="33">
        <v>7.835</v>
      </c>
      <c r="G36" s="33">
        <v>7.835</v>
      </c>
      <c r="H36" s="33">
        <v>7.835</v>
      </c>
      <c r="I36" s="33">
        <v>3.9180000000000001</v>
      </c>
      <c r="J36" s="33">
        <v>3.9180000000000001</v>
      </c>
      <c r="K36" s="33">
        <v>4</v>
      </c>
      <c r="L36" s="33">
        <v>7.835</v>
      </c>
      <c r="M36" s="33">
        <v>7.835</v>
      </c>
      <c r="N36" s="33">
        <v>7.835</v>
      </c>
      <c r="O36" s="33">
        <v>7.835</v>
      </c>
      <c r="P36" s="33">
        <v>7.835</v>
      </c>
      <c r="Q36" s="33">
        <v>7.835</v>
      </c>
      <c r="R36" s="33">
        <v>7.835</v>
      </c>
      <c r="S36" s="33">
        <v>7.835</v>
      </c>
      <c r="T36" s="33">
        <v>7.835</v>
      </c>
      <c r="U36" s="33">
        <v>7.835</v>
      </c>
      <c r="V36" s="33">
        <v>7.835</v>
      </c>
      <c r="W36" s="33">
        <v>7.835</v>
      </c>
      <c r="X36" s="33">
        <v>7.835</v>
      </c>
      <c r="Y36" s="33">
        <v>7.835</v>
      </c>
      <c r="Z36" s="33">
        <v>7.835</v>
      </c>
      <c r="AA36" s="33">
        <v>7.835</v>
      </c>
      <c r="AB36" s="33">
        <v>7.835</v>
      </c>
      <c r="AC36" s="33">
        <v>7.835</v>
      </c>
      <c r="AD36" s="33">
        <v>7.835</v>
      </c>
      <c r="AE36" s="33">
        <v>7.835</v>
      </c>
      <c r="AF36" s="33">
        <v>7.835</v>
      </c>
      <c r="AG36" s="33">
        <v>7.835</v>
      </c>
      <c r="AH36" s="33">
        <v>7.835</v>
      </c>
      <c r="AI36" s="33">
        <v>7.835</v>
      </c>
    </row>
    <row r="37" spans="1:35" s="3" customFormat="1" ht="24.95" customHeight="1">
      <c r="A37" s="60"/>
      <c r="B37" s="7" t="s">
        <v>70</v>
      </c>
      <c r="C37" s="7">
        <f>D37+'7月'!C37</f>
        <v>75.127000000000024</v>
      </c>
      <c r="D37" s="7">
        <f t="shared" si="8"/>
        <v>9.480000000000004</v>
      </c>
      <c r="E37" s="33">
        <v>0.32</v>
      </c>
      <c r="F37" s="33">
        <v>0.32</v>
      </c>
      <c r="G37" s="33">
        <v>0.32</v>
      </c>
      <c r="H37" s="33">
        <v>0.32</v>
      </c>
      <c r="I37" s="33">
        <v>0.16</v>
      </c>
      <c r="J37" s="33">
        <v>0.16</v>
      </c>
      <c r="K37" s="33">
        <v>0.2</v>
      </c>
      <c r="L37" s="33">
        <v>0.32</v>
      </c>
      <c r="M37" s="33">
        <v>0.32</v>
      </c>
      <c r="N37" s="33">
        <v>0.32</v>
      </c>
      <c r="O37" s="33">
        <v>0.32</v>
      </c>
      <c r="P37" s="33">
        <v>0.32</v>
      </c>
      <c r="Q37" s="33">
        <v>0.32</v>
      </c>
      <c r="R37" s="33">
        <v>0.32</v>
      </c>
      <c r="S37" s="33">
        <v>0.32</v>
      </c>
      <c r="T37" s="33">
        <v>0.32</v>
      </c>
      <c r="U37" s="33">
        <v>0.32</v>
      </c>
      <c r="V37" s="33">
        <v>0.32</v>
      </c>
      <c r="W37" s="33">
        <v>0.32</v>
      </c>
      <c r="X37" s="33">
        <v>0.32</v>
      </c>
      <c r="Y37" s="33">
        <v>0.32</v>
      </c>
      <c r="Z37" s="33">
        <v>0.32</v>
      </c>
      <c r="AA37" s="33">
        <v>0.32</v>
      </c>
      <c r="AB37" s="33">
        <v>0.32</v>
      </c>
      <c r="AC37" s="33">
        <v>0.32</v>
      </c>
      <c r="AD37" s="33">
        <v>0.32</v>
      </c>
      <c r="AE37" s="33">
        <v>0.32</v>
      </c>
      <c r="AF37" s="33">
        <v>0.32</v>
      </c>
      <c r="AG37" s="33">
        <v>0.32</v>
      </c>
      <c r="AH37" s="33">
        <v>0.32</v>
      </c>
      <c r="AI37" s="33">
        <v>0.32</v>
      </c>
    </row>
    <row r="38" spans="1:35" s="1" customFormat="1" ht="18" customHeight="1">
      <c r="B38" s="22" t="s">
        <v>71</v>
      </c>
      <c r="C38" s="23">
        <f>C31/C5</f>
        <v>0.19368328892442593</v>
      </c>
      <c r="D38" s="23">
        <f>D31/D5</f>
        <v>0.19534075311175994</v>
      </c>
      <c r="G38" s="24"/>
    </row>
    <row r="39" spans="1:35" s="1" customFormat="1" ht="18" customHeight="1">
      <c r="B39" s="22" t="s">
        <v>72</v>
      </c>
      <c r="C39" s="23">
        <f>C32/C5</f>
        <v>2.4643146696803675E-2</v>
      </c>
      <c r="D39" s="23">
        <f>D32/D5</f>
        <v>2.6951728944360164E-2</v>
      </c>
      <c r="G39" s="24"/>
    </row>
    <row r="40" spans="1:35" s="1" customFormat="1" ht="18" customHeight="1">
      <c r="B40" s="22" t="s">
        <v>73</v>
      </c>
      <c r="C40" s="23">
        <f>C33/C5</f>
        <v>8.5904992484360093E-2</v>
      </c>
      <c r="D40" s="23">
        <f>D33/D5</f>
        <v>0.109596841707144</v>
      </c>
      <c r="G40" s="24"/>
    </row>
    <row r="41" spans="1:35">
      <c r="G41" s="25"/>
    </row>
    <row r="42" spans="1:35">
      <c r="G42" s="25"/>
    </row>
    <row r="43" spans="1:35">
      <c r="G43" s="25"/>
    </row>
    <row r="44" spans="1:35">
      <c r="G44" s="25"/>
    </row>
    <row r="45" spans="1:35">
      <c r="G45" s="25"/>
    </row>
    <row r="46" spans="1:35">
      <c r="G46" s="25"/>
    </row>
    <row r="47" spans="1:35">
      <c r="G47" s="25"/>
    </row>
    <row r="48" spans="1:35">
      <c r="G48" s="25"/>
    </row>
    <row r="49" spans="7:7">
      <c r="G49" s="25"/>
    </row>
    <row r="50" spans="7:7">
      <c r="G50" s="25"/>
    </row>
    <row r="51" spans="7:7">
      <c r="G51" s="25"/>
    </row>
    <row r="52" spans="7:7">
      <c r="G52" s="25"/>
    </row>
    <row r="53" spans="7:7">
      <c r="G53" s="25"/>
    </row>
    <row r="54" spans="7:7">
      <c r="G54" s="25"/>
    </row>
    <row r="55" spans="7:7">
      <c r="G55" s="25"/>
    </row>
    <row r="56" spans="7:7">
      <c r="G56" s="25"/>
    </row>
    <row r="57" spans="7:7">
      <c r="G57" s="25"/>
    </row>
    <row r="58" spans="7:7">
      <c r="G58" s="25"/>
    </row>
    <row r="59" spans="7:7">
      <c r="G59" s="25"/>
    </row>
    <row r="60" spans="7:7">
      <c r="G60" s="25"/>
    </row>
    <row r="61" spans="7:7">
      <c r="G61" s="25"/>
    </row>
    <row r="62" spans="7:7">
      <c r="G62" s="25"/>
    </row>
    <row r="63" spans="7:7">
      <c r="G63" s="25"/>
    </row>
  </sheetData>
  <mergeCells count="10">
    <mergeCell ref="A35:A37"/>
    <mergeCell ref="A13:A15"/>
    <mergeCell ref="A16:A17"/>
    <mergeCell ref="A19:A29"/>
    <mergeCell ref="A31:A34"/>
    <mergeCell ref="A1:B1"/>
    <mergeCell ref="C1:AI1"/>
    <mergeCell ref="A3:A5"/>
    <mergeCell ref="A6:A8"/>
    <mergeCell ref="A9:A12"/>
  </mergeCells>
  <phoneticPr fontId="12" type="noConversion"/>
  <pageMargins left="0.69930555555555596" right="0.69930555555555596" top="0.75" bottom="0.75" header="0.3" footer="0.3"/>
  <pageSetup paperSize="8" scale="57" orientation="landscape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63"/>
  <sheetViews>
    <sheetView zoomScale="160" zoomScaleNormal="160" workbookViewId="0">
      <pane xSplit="4" topLeftCell="E1" activePane="topRight" state="frozen"/>
      <selection pane="topRight" activeCell="B35" sqref="A35:XFD41"/>
    </sheetView>
  </sheetViews>
  <sheetFormatPr defaultColWidth="9" defaultRowHeight="13.5"/>
  <cols>
    <col min="1" max="1" width="8.75" style="4" customWidth="1"/>
    <col min="2" max="2" width="13.625" style="4" customWidth="1"/>
    <col min="3" max="3" width="13.25" style="4" customWidth="1"/>
    <col min="4" max="4" width="10.5" style="4" customWidth="1"/>
    <col min="5" max="6" width="9" style="4"/>
    <col min="7" max="12" width="9" style="4" customWidth="1"/>
    <col min="13" max="13" width="10.875" style="4" customWidth="1"/>
    <col min="14" max="16" width="9" style="4" customWidth="1"/>
    <col min="17" max="17" width="11" style="4" customWidth="1"/>
    <col min="18" max="31" width="9" style="4" customWidth="1"/>
    <col min="32" max="32" width="9" style="4"/>
    <col min="33" max="33" width="9" style="4" customWidth="1"/>
    <col min="34" max="34" width="8.375" style="4" customWidth="1"/>
    <col min="35" max="35" width="9" style="4" hidden="1" customWidth="1"/>
    <col min="36" max="16384" width="9" style="4"/>
  </cols>
  <sheetData>
    <row r="1" spans="1:35" s="1" customFormat="1" ht="42.75" customHeight="1">
      <c r="A1" s="53">
        <v>44440</v>
      </c>
      <c r="B1" s="54"/>
      <c r="C1" s="55" t="s">
        <v>0</v>
      </c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55"/>
      <c r="X1" s="55"/>
      <c r="Y1" s="55"/>
      <c r="Z1" s="55"/>
      <c r="AA1" s="55"/>
      <c r="AB1" s="55"/>
      <c r="AC1" s="55"/>
      <c r="AD1" s="55"/>
      <c r="AE1" s="55"/>
      <c r="AF1" s="55"/>
      <c r="AG1" s="55"/>
      <c r="AH1" s="55"/>
      <c r="AI1" s="55"/>
    </row>
    <row r="2" spans="1:35" s="2" customFormat="1" ht="24.95" customHeight="1">
      <c r="A2" s="5"/>
      <c r="B2" s="5" t="s">
        <v>1</v>
      </c>
      <c r="C2" s="5" t="s">
        <v>2</v>
      </c>
      <c r="D2" s="5" t="s">
        <v>3</v>
      </c>
      <c r="E2" s="5" t="s">
        <v>4</v>
      </c>
      <c r="F2" s="5" t="s">
        <v>5</v>
      </c>
      <c r="G2" s="5" t="s">
        <v>6</v>
      </c>
      <c r="H2" s="5" t="s">
        <v>7</v>
      </c>
      <c r="I2" s="5" t="s">
        <v>8</v>
      </c>
      <c r="J2" s="5" t="s">
        <v>9</v>
      </c>
      <c r="K2" s="5" t="s">
        <v>10</v>
      </c>
      <c r="L2" s="5" t="s">
        <v>11</v>
      </c>
      <c r="M2" s="5" t="s">
        <v>12</v>
      </c>
      <c r="N2" s="5" t="s">
        <v>13</v>
      </c>
      <c r="O2" s="5" t="s">
        <v>14</v>
      </c>
      <c r="P2" s="5" t="s">
        <v>15</v>
      </c>
      <c r="Q2" s="5" t="s">
        <v>16</v>
      </c>
      <c r="R2" s="5" t="s">
        <v>17</v>
      </c>
      <c r="S2" s="5" t="s">
        <v>18</v>
      </c>
      <c r="T2" s="5" t="s">
        <v>19</v>
      </c>
      <c r="U2" s="5" t="s">
        <v>20</v>
      </c>
      <c r="V2" s="5" t="s">
        <v>21</v>
      </c>
      <c r="W2" s="5" t="s">
        <v>22</v>
      </c>
      <c r="X2" s="5" t="s">
        <v>23</v>
      </c>
      <c r="Y2" s="5" t="s">
        <v>24</v>
      </c>
      <c r="Z2" s="5" t="s">
        <v>25</v>
      </c>
      <c r="AA2" s="5" t="s">
        <v>26</v>
      </c>
      <c r="AB2" s="5" t="s">
        <v>27</v>
      </c>
      <c r="AC2" s="5" t="s">
        <v>28</v>
      </c>
      <c r="AD2" s="5" t="s">
        <v>29</v>
      </c>
      <c r="AE2" s="5" t="s">
        <v>30</v>
      </c>
      <c r="AF2" s="5" t="s">
        <v>31</v>
      </c>
      <c r="AG2" s="5" t="s">
        <v>32</v>
      </c>
      <c r="AH2" s="5" t="s">
        <v>33</v>
      </c>
      <c r="AI2" s="5" t="s">
        <v>34</v>
      </c>
    </row>
    <row r="3" spans="1:35" s="3" customFormat="1" ht="25.5" customHeight="1">
      <c r="A3" s="56" t="s">
        <v>35</v>
      </c>
      <c r="B3" s="7" t="s">
        <v>36</v>
      </c>
      <c r="C3" s="7">
        <f>D3+'8月'!C3</f>
        <v>94439.599999999977</v>
      </c>
      <c r="D3" s="7">
        <f>SUM(E3:AI3)</f>
        <v>10839.099999999999</v>
      </c>
      <c r="E3" s="7">
        <v>367.2</v>
      </c>
      <c r="F3" s="7">
        <v>368.2</v>
      </c>
      <c r="G3" s="7">
        <v>363.9</v>
      </c>
      <c r="H3" s="7">
        <v>372.1</v>
      </c>
      <c r="I3" s="7">
        <v>373.8</v>
      </c>
      <c r="J3" s="7">
        <v>372.4</v>
      </c>
      <c r="K3" s="7">
        <v>367.5</v>
      </c>
      <c r="L3" s="7">
        <v>359.5</v>
      </c>
      <c r="M3" s="7">
        <v>371.6</v>
      </c>
      <c r="N3" s="7">
        <v>363.7</v>
      </c>
      <c r="O3" s="7">
        <v>364.1</v>
      </c>
      <c r="P3" s="7">
        <v>365.3</v>
      </c>
      <c r="Q3" s="7">
        <v>369.5</v>
      </c>
      <c r="R3" s="7">
        <v>358.9</v>
      </c>
      <c r="S3" s="7">
        <v>351</v>
      </c>
      <c r="T3" s="7">
        <v>385.4</v>
      </c>
      <c r="U3" s="7">
        <v>362</v>
      </c>
      <c r="V3" s="7">
        <v>334.6</v>
      </c>
      <c r="W3" s="7">
        <v>343</v>
      </c>
      <c r="X3" s="7">
        <v>334.3</v>
      </c>
      <c r="Y3" s="7">
        <v>357.6</v>
      </c>
      <c r="Z3" s="7">
        <v>354.3</v>
      </c>
      <c r="AA3" s="7">
        <v>330</v>
      </c>
      <c r="AB3" s="7">
        <v>357.6</v>
      </c>
      <c r="AC3" s="7">
        <v>363.4</v>
      </c>
      <c r="AD3" s="7">
        <v>362.9</v>
      </c>
      <c r="AE3" s="7">
        <v>364.3</v>
      </c>
      <c r="AF3" s="7">
        <v>371.6</v>
      </c>
      <c r="AG3" s="7">
        <v>378.8</v>
      </c>
      <c r="AH3" s="7">
        <v>350.6</v>
      </c>
      <c r="AI3" s="30"/>
    </row>
    <row r="4" spans="1:35" s="3" customFormat="1" ht="26.25" customHeight="1">
      <c r="A4" s="56"/>
      <c r="B4" s="7" t="s">
        <v>37</v>
      </c>
      <c r="C4" s="7">
        <f>D4+'8月'!C4</f>
        <v>107312.20000000001</v>
      </c>
      <c r="D4" s="7">
        <f t="shared" ref="D4:D9" si="0">SUM(E4:AI4)</f>
        <v>11819.499999999998</v>
      </c>
      <c r="E4" s="7">
        <v>418.4</v>
      </c>
      <c r="F4" s="7">
        <v>416.6</v>
      </c>
      <c r="G4" s="7">
        <v>400.6</v>
      </c>
      <c r="H4" s="7">
        <v>407.1</v>
      </c>
      <c r="I4" s="7">
        <v>410.1</v>
      </c>
      <c r="J4" s="7">
        <v>406</v>
      </c>
      <c r="K4" s="7">
        <v>390</v>
      </c>
      <c r="L4" s="7">
        <v>414.8</v>
      </c>
      <c r="M4" s="7">
        <v>402</v>
      </c>
      <c r="N4" s="7">
        <v>397.1</v>
      </c>
      <c r="O4" s="7">
        <v>396.2</v>
      </c>
      <c r="P4" s="7">
        <v>382.3</v>
      </c>
      <c r="Q4" s="7">
        <v>383</v>
      </c>
      <c r="R4" s="7">
        <v>376.4</v>
      </c>
      <c r="S4" s="7">
        <v>383.4</v>
      </c>
      <c r="T4" s="7">
        <v>398.4</v>
      </c>
      <c r="U4" s="7">
        <v>386.9</v>
      </c>
      <c r="V4" s="7">
        <v>406.4</v>
      </c>
      <c r="W4" s="7">
        <v>396.6</v>
      </c>
      <c r="X4" s="7">
        <v>394.5</v>
      </c>
      <c r="Y4" s="7">
        <v>376.9</v>
      </c>
      <c r="Z4" s="7">
        <v>373.3</v>
      </c>
      <c r="AA4" s="7">
        <v>383</v>
      </c>
      <c r="AB4" s="7">
        <v>377.2</v>
      </c>
      <c r="AC4" s="7">
        <v>403.2</v>
      </c>
      <c r="AD4" s="7">
        <v>381.4</v>
      </c>
      <c r="AE4" s="7">
        <v>383.1</v>
      </c>
      <c r="AF4" s="7">
        <v>389.5</v>
      </c>
      <c r="AG4" s="7">
        <v>401.3</v>
      </c>
      <c r="AH4" s="30">
        <v>383.8</v>
      </c>
      <c r="AI4" s="7"/>
    </row>
    <row r="5" spans="1:35" s="3" customFormat="1" ht="24.95" customHeight="1">
      <c r="A5" s="56"/>
      <c r="B5" s="7" t="s">
        <v>38</v>
      </c>
      <c r="C5" s="7">
        <f>D5+'8月'!C5</f>
        <v>201751.80000000002</v>
      </c>
      <c r="D5" s="7">
        <f t="shared" si="0"/>
        <v>22658.599999999995</v>
      </c>
      <c r="E5" s="7">
        <f>E3+E4</f>
        <v>785.59999999999991</v>
      </c>
      <c r="F5" s="7">
        <f t="shared" ref="F5:AI5" si="1">F3+F4</f>
        <v>784.8</v>
      </c>
      <c r="G5" s="7">
        <f t="shared" si="1"/>
        <v>764.5</v>
      </c>
      <c r="H5" s="7">
        <f t="shared" si="1"/>
        <v>779.2</v>
      </c>
      <c r="I5" s="7">
        <f t="shared" si="1"/>
        <v>783.90000000000009</v>
      </c>
      <c r="J5" s="7">
        <f t="shared" si="1"/>
        <v>778.4</v>
      </c>
      <c r="K5" s="7">
        <f t="shared" si="1"/>
        <v>757.5</v>
      </c>
      <c r="L5" s="7">
        <f t="shared" si="1"/>
        <v>774.3</v>
      </c>
      <c r="M5" s="7">
        <f t="shared" si="1"/>
        <v>773.6</v>
      </c>
      <c r="N5" s="7">
        <f t="shared" si="1"/>
        <v>760.8</v>
      </c>
      <c r="O5" s="7">
        <f t="shared" si="1"/>
        <v>760.3</v>
      </c>
      <c r="P5" s="7">
        <f t="shared" si="1"/>
        <v>747.6</v>
      </c>
      <c r="Q5" s="7">
        <f t="shared" si="1"/>
        <v>752.5</v>
      </c>
      <c r="R5" s="7">
        <f t="shared" si="1"/>
        <v>735.3</v>
      </c>
      <c r="S5" s="7">
        <f t="shared" si="1"/>
        <v>734.4</v>
      </c>
      <c r="T5" s="7">
        <f t="shared" si="1"/>
        <v>783.8</v>
      </c>
      <c r="U5" s="7">
        <f t="shared" si="1"/>
        <v>748.9</v>
      </c>
      <c r="V5" s="7">
        <f t="shared" si="1"/>
        <v>741</v>
      </c>
      <c r="W5" s="7">
        <f t="shared" si="1"/>
        <v>739.6</v>
      </c>
      <c r="X5" s="7">
        <f t="shared" si="1"/>
        <v>728.8</v>
      </c>
      <c r="Y5" s="7">
        <f t="shared" si="1"/>
        <v>734.5</v>
      </c>
      <c r="Z5" s="7">
        <f t="shared" si="1"/>
        <v>727.6</v>
      </c>
      <c r="AA5" s="7">
        <f t="shared" si="1"/>
        <v>713</v>
      </c>
      <c r="AB5" s="7">
        <f t="shared" si="1"/>
        <v>734.8</v>
      </c>
      <c r="AC5" s="7">
        <f t="shared" si="1"/>
        <v>766.59999999999991</v>
      </c>
      <c r="AD5" s="7">
        <f t="shared" si="1"/>
        <v>744.3</v>
      </c>
      <c r="AE5" s="7">
        <f t="shared" si="1"/>
        <v>747.40000000000009</v>
      </c>
      <c r="AF5" s="7">
        <f t="shared" si="1"/>
        <v>761.1</v>
      </c>
      <c r="AG5" s="7">
        <f t="shared" si="1"/>
        <v>780.1</v>
      </c>
      <c r="AH5" s="7">
        <f t="shared" si="1"/>
        <v>734.40000000000009</v>
      </c>
      <c r="AI5" s="7">
        <f t="shared" si="1"/>
        <v>0</v>
      </c>
    </row>
    <row r="6" spans="1:35" s="3" customFormat="1" ht="24.95" customHeight="1">
      <c r="A6" s="56" t="s">
        <v>39</v>
      </c>
      <c r="B6" s="7" t="s">
        <v>40</v>
      </c>
      <c r="C6" s="7">
        <f>D6+'8月'!C6</f>
        <v>43756158</v>
      </c>
      <c r="D6" s="7">
        <f t="shared" si="0"/>
        <v>4935169</v>
      </c>
      <c r="E6" s="7">
        <v>169210</v>
      </c>
      <c r="F6" s="7">
        <v>164285</v>
      </c>
      <c r="G6" s="7">
        <v>176569</v>
      </c>
      <c r="H6" s="7">
        <v>170854</v>
      </c>
      <c r="I6" s="7">
        <v>165279</v>
      </c>
      <c r="J6" s="7">
        <v>159422</v>
      </c>
      <c r="K6" s="7">
        <v>158578</v>
      </c>
      <c r="L6" s="7">
        <v>166779</v>
      </c>
      <c r="M6" s="7">
        <v>159600</v>
      </c>
      <c r="N6" s="7">
        <v>167614</v>
      </c>
      <c r="O6" s="7">
        <v>164180</v>
      </c>
      <c r="P6" s="26">
        <v>160223</v>
      </c>
      <c r="Q6" s="7">
        <v>164463</v>
      </c>
      <c r="R6" s="7">
        <v>162263</v>
      </c>
      <c r="S6" s="7">
        <v>170250</v>
      </c>
      <c r="T6" s="7">
        <v>164976</v>
      </c>
      <c r="U6" s="26">
        <v>171215</v>
      </c>
      <c r="V6" s="7">
        <v>175505</v>
      </c>
      <c r="W6" s="7">
        <v>165989</v>
      </c>
      <c r="X6" s="7">
        <v>157479</v>
      </c>
      <c r="Y6" s="7">
        <v>166748</v>
      </c>
      <c r="Z6" s="7">
        <v>164304</v>
      </c>
      <c r="AA6" s="7">
        <v>167009</v>
      </c>
      <c r="AB6" s="7">
        <v>162273</v>
      </c>
      <c r="AC6" s="7">
        <v>164780</v>
      </c>
      <c r="AD6" s="7">
        <v>162947</v>
      </c>
      <c r="AE6" s="7">
        <v>154836</v>
      </c>
      <c r="AF6" s="7">
        <v>158339</v>
      </c>
      <c r="AG6" s="7">
        <v>163458</v>
      </c>
      <c r="AH6" s="7">
        <v>155742</v>
      </c>
      <c r="AI6" s="7"/>
    </row>
    <row r="7" spans="1:35" s="3" customFormat="1" ht="24.95" customHeight="1">
      <c r="A7" s="56"/>
      <c r="B7" s="7" t="s">
        <v>41</v>
      </c>
      <c r="C7" s="7">
        <f>D7+'8月'!C7</f>
        <v>39206910</v>
      </c>
      <c r="D7" s="7">
        <f t="shared" si="0"/>
        <v>3843480</v>
      </c>
      <c r="E7" s="7">
        <v>141840</v>
      </c>
      <c r="F7" s="7">
        <v>138480</v>
      </c>
      <c r="G7" s="7">
        <v>128400</v>
      </c>
      <c r="H7" s="7">
        <v>131040</v>
      </c>
      <c r="I7" s="7">
        <v>139440</v>
      </c>
      <c r="J7" s="7">
        <v>126240</v>
      </c>
      <c r="K7" s="7">
        <v>135840</v>
      </c>
      <c r="L7" s="7">
        <v>133920</v>
      </c>
      <c r="M7" s="7">
        <v>142680</v>
      </c>
      <c r="N7" s="7">
        <v>134160</v>
      </c>
      <c r="O7" s="7">
        <v>125760</v>
      </c>
      <c r="P7" s="26">
        <v>126720</v>
      </c>
      <c r="Q7" s="7">
        <v>129840</v>
      </c>
      <c r="R7" s="7">
        <v>116400</v>
      </c>
      <c r="S7" s="7">
        <v>120720</v>
      </c>
      <c r="T7" s="7">
        <v>135120</v>
      </c>
      <c r="U7" s="7">
        <v>124080</v>
      </c>
      <c r="V7" s="7">
        <v>118320</v>
      </c>
      <c r="W7" s="7">
        <v>125760</v>
      </c>
      <c r="X7" s="7">
        <v>127200</v>
      </c>
      <c r="Y7" s="7">
        <v>126720</v>
      </c>
      <c r="Z7" s="7">
        <v>123120</v>
      </c>
      <c r="AA7" s="7">
        <v>121200</v>
      </c>
      <c r="AB7" s="7">
        <v>126000</v>
      </c>
      <c r="AC7" s="7">
        <v>130560</v>
      </c>
      <c r="AD7" s="7">
        <v>129120</v>
      </c>
      <c r="AE7" s="7">
        <v>120000</v>
      </c>
      <c r="AF7" s="7">
        <v>122400</v>
      </c>
      <c r="AG7" s="7">
        <v>120000</v>
      </c>
      <c r="AH7" s="7">
        <v>122400</v>
      </c>
      <c r="AI7" s="26"/>
    </row>
    <row r="8" spans="1:35" s="3" customFormat="1" ht="24.75" customHeight="1">
      <c r="A8" s="56"/>
      <c r="B8" s="7" t="s">
        <v>38</v>
      </c>
      <c r="C8" s="7">
        <f>D8+'8月'!C8</f>
        <v>82963068</v>
      </c>
      <c r="D8" s="7">
        <f t="shared" si="0"/>
        <v>8778649</v>
      </c>
      <c r="E8" s="7">
        <f>E6+E7</f>
        <v>311050</v>
      </c>
      <c r="F8" s="7">
        <f t="shared" ref="F8:AI8" si="2">F6+F7</f>
        <v>302765</v>
      </c>
      <c r="G8" s="7">
        <f t="shared" si="2"/>
        <v>304969</v>
      </c>
      <c r="H8" s="7">
        <f t="shared" si="2"/>
        <v>301894</v>
      </c>
      <c r="I8" s="7">
        <f t="shared" si="2"/>
        <v>304719</v>
      </c>
      <c r="J8" s="7">
        <f t="shared" si="2"/>
        <v>285662</v>
      </c>
      <c r="K8" s="7">
        <f t="shared" si="2"/>
        <v>294418</v>
      </c>
      <c r="L8" s="7">
        <f t="shared" si="2"/>
        <v>300699</v>
      </c>
      <c r="M8" s="7">
        <f t="shared" si="2"/>
        <v>302280</v>
      </c>
      <c r="N8" s="7">
        <f t="shared" si="2"/>
        <v>301774</v>
      </c>
      <c r="O8" s="7">
        <f t="shared" si="2"/>
        <v>289940</v>
      </c>
      <c r="P8" s="7">
        <f t="shared" si="2"/>
        <v>286943</v>
      </c>
      <c r="Q8" s="7">
        <f t="shared" si="2"/>
        <v>294303</v>
      </c>
      <c r="R8" s="7">
        <f t="shared" si="2"/>
        <v>278663</v>
      </c>
      <c r="S8" s="7">
        <f t="shared" si="2"/>
        <v>290970</v>
      </c>
      <c r="T8" s="7">
        <f t="shared" si="2"/>
        <v>300096</v>
      </c>
      <c r="U8" s="7">
        <f t="shared" si="2"/>
        <v>295295</v>
      </c>
      <c r="V8" s="7">
        <f t="shared" si="2"/>
        <v>293825</v>
      </c>
      <c r="W8" s="7">
        <f t="shared" si="2"/>
        <v>291749</v>
      </c>
      <c r="X8" s="7">
        <f t="shared" si="2"/>
        <v>284679</v>
      </c>
      <c r="Y8" s="7">
        <f t="shared" si="2"/>
        <v>293468</v>
      </c>
      <c r="Z8" s="7">
        <f t="shared" si="2"/>
        <v>287424</v>
      </c>
      <c r="AA8" s="7">
        <f t="shared" si="2"/>
        <v>288209</v>
      </c>
      <c r="AB8" s="7">
        <f t="shared" si="2"/>
        <v>288273</v>
      </c>
      <c r="AC8" s="7">
        <f t="shared" si="2"/>
        <v>295340</v>
      </c>
      <c r="AD8" s="7">
        <f t="shared" si="2"/>
        <v>292067</v>
      </c>
      <c r="AE8" s="7">
        <f t="shared" si="2"/>
        <v>274836</v>
      </c>
      <c r="AF8" s="7">
        <f t="shared" si="2"/>
        <v>280739</v>
      </c>
      <c r="AG8" s="7">
        <f t="shared" si="2"/>
        <v>283458</v>
      </c>
      <c r="AH8" s="7">
        <f t="shared" si="2"/>
        <v>278142</v>
      </c>
      <c r="AI8" s="7">
        <f t="shared" si="2"/>
        <v>0</v>
      </c>
    </row>
    <row r="9" spans="1:35" s="3" customFormat="1" ht="24.95" customHeight="1">
      <c r="A9" s="56" t="s">
        <v>42</v>
      </c>
      <c r="B9" s="7" t="s">
        <v>38</v>
      </c>
      <c r="C9" s="7">
        <f>D9+'8月'!C9</f>
        <v>69438828</v>
      </c>
      <c r="D9" s="7">
        <f t="shared" si="0"/>
        <v>7229009</v>
      </c>
      <c r="E9" s="7">
        <v>260190</v>
      </c>
      <c r="F9" s="7">
        <v>250105</v>
      </c>
      <c r="G9" s="7">
        <v>252249</v>
      </c>
      <c r="H9" s="7">
        <v>250234</v>
      </c>
      <c r="I9" s="7">
        <v>252099</v>
      </c>
      <c r="J9" s="7">
        <v>233182</v>
      </c>
      <c r="K9" s="7">
        <v>245038</v>
      </c>
      <c r="L9" s="7">
        <v>248779</v>
      </c>
      <c r="M9" s="7">
        <v>252880</v>
      </c>
      <c r="N9" s="7">
        <v>255574</v>
      </c>
      <c r="O9" s="7">
        <v>239240</v>
      </c>
      <c r="P9" s="7">
        <v>233403</v>
      </c>
      <c r="Q9" s="7">
        <v>240083</v>
      </c>
      <c r="R9" s="7">
        <v>225043</v>
      </c>
      <c r="S9" s="7">
        <v>238110</v>
      </c>
      <c r="T9" s="7">
        <v>245856</v>
      </c>
      <c r="U9" s="7">
        <v>243855</v>
      </c>
      <c r="V9" s="7">
        <v>241165</v>
      </c>
      <c r="W9" s="7">
        <v>239709</v>
      </c>
      <c r="X9" s="7">
        <v>233199</v>
      </c>
      <c r="Y9" s="7">
        <v>241608</v>
      </c>
      <c r="Z9" s="7">
        <v>236144</v>
      </c>
      <c r="AA9" s="7">
        <v>236849</v>
      </c>
      <c r="AB9" s="7">
        <v>239033</v>
      </c>
      <c r="AC9" s="7">
        <v>243520</v>
      </c>
      <c r="AD9" s="7">
        <v>238707</v>
      </c>
      <c r="AE9" s="7">
        <v>226196</v>
      </c>
      <c r="AF9" s="7">
        <v>227619</v>
      </c>
      <c r="AG9" s="7">
        <v>231758</v>
      </c>
      <c r="AH9" s="7">
        <v>227582</v>
      </c>
      <c r="AI9" s="7"/>
    </row>
    <row r="10" spans="1:35" s="3" customFormat="1" ht="24.95" customHeight="1">
      <c r="A10" s="56"/>
      <c r="B10" s="6" t="s">
        <v>43</v>
      </c>
      <c r="C10" s="8">
        <f>SUM(C8/C5)</f>
        <v>411.21352077156183</v>
      </c>
      <c r="D10" s="8">
        <f t="shared" ref="D10:AI10" si="3">SUM(D8/D5)</f>
        <v>387.43121816881899</v>
      </c>
      <c r="E10" s="8">
        <f t="shared" si="3"/>
        <v>395.93940936863549</v>
      </c>
      <c r="F10" s="8">
        <f t="shared" si="3"/>
        <v>385.78618756371054</v>
      </c>
      <c r="G10" s="8">
        <f t="shared" si="3"/>
        <v>398.91301504251146</v>
      </c>
      <c r="H10" s="8">
        <f t="shared" si="3"/>
        <v>387.44096509240245</v>
      </c>
      <c r="I10" s="8">
        <f t="shared" si="3"/>
        <v>388.72177573670109</v>
      </c>
      <c r="J10" s="8">
        <f t="shared" si="3"/>
        <v>366.98612538540596</v>
      </c>
      <c r="K10" s="8">
        <f t="shared" si="3"/>
        <v>388.67062706270627</v>
      </c>
      <c r="L10" s="8">
        <f t="shared" si="3"/>
        <v>388.34947694691982</v>
      </c>
      <c r="M10" s="8">
        <f t="shared" si="3"/>
        <v>390.74457083764219</v>
      </c>
      <c r="N10" s="8">
        <f t="shared" si="3"/>
        <v>396.65352260778133</v>
      </c>
      <c r="O10" s="8">
        <f t="shared" si="3"/>
        <v>381.34946731553339</v>
      </c>
      <c r="P10" s="8">
        <f t="shared" si="3"/>
        <v>383.81888710540397</v>
      </c>
      <c r="Q10" s="8">
        <f t="shared" si="3"/>
        <v>391.10033222591363</v>
      </c>
      <c r="R10" s="8">
        <f t="shared" si="3"/>
        <v>378.97864817081467</v>
      </c>
      <c r="S10" s="8">
        <f t="shared" si="3"/>
        <v>396.20098039215685</v>
      </c>
      <c r="T10" s="8">
        <f t="shared" si="3"/>
        <v>382.87318193416689</v>
      </c>
      <c r="U10" s="8">
        <f t="shared" si="3"/>
        <v>394.30498063826946</v>
      </c>
      <c r="V10" s="8">
        <f t="shared" si="3"/>
        <v>396.52496626180834</v>
      </c>
      <c r="W10" s="8">
        <f t="shared" si="3"/>
        <v>394.46863169280692</v>
      </c>
      <c r="X10" s="8">
        <f t="shared" si="3"/>
        <v>390.61333699231614</v>
      </c>
      <c r="Y10" s="8">
        <f t="shared" si="3"/>
        <v>399.54799183117768</v>
      </c>
      <c r="Z10" s="8">
        <f t="shared" si="3"/>
        <v>395.03023639362289</v>
      </c>
      <c r="AA10" s="8">
        <f t="shared" si="3"/>
        <v>404.22019635343617</v>
      </c>
      <c r="AB10" s="8">
        <f t="shared" si="3"/>
        <v>392.31491562329887</v>
      </c>
      <c r="AC10" s="8">
        <f t="shared" si="3"/>
        <v>385.25958779024268</v>
      </c>
      <c r="AD10" s="8">
        <f t="shared" si="3"/>
        <v>392.40494424291285</v>
      </c>
      <c r="AE10" s="8">
        <f t="shared" si="3"/>
        <v>367.7227722772277</v>
      </c>
      <c r="AF10" s="8">
        <f t="shared" si="3"/>
        <v>368.85954539482327</v>
      </c>
      <c r="AG10" s="8">
        <f t="shared" si="3"/>
        <v>363.36110755031405</v>
      </c>
      <c r="AH10" s="8">
        <f t="shared" si="3"/>
        <v>378.73366013071893</v>
      </c>
      <c r="AI10" s="8" t="e">
        <f t="shared" si="3"/>
        <v>#DIV/0!</v>
      </c>
    </row>
    <row r="11" spans="1:35" s="3" customFormat="1" ht="24.95" customHeight="1">
      <c r="A11" s="56"/>
      <c r="B11" s="9" t="s">
        <v>44</v>
      </c>
      <c r="C11" s="8">
        <f>(C8-C16)/C5</f>
        <v>344.24886419848542</v>
      </c>
      <c r="D11" s="8">
        <f>(D8-D16)/D5</f>
        <v>319.04040849831858</v>
      </c>
      <c r="E11" s="8">
        <f>(E8-E16)/E5</f>
        <v>331.19908350305502</v>
      </c>
      <c r="F11" s="8">
        <f>(F8-F16)/F5</f>
        <v>318.6862895005097</v>
      </c>
      <c r="G11" s="8">
        <f>(G8-G16)/G5</f>
        <v>329.95291039895358</v>
      </c>
      <c r="H11" s="8">
        <f>(H8-H16)/H5</f>
        <v>321.14219712525664</v>
      </c>
      <c r="I11" s="8">
        <f>(I8-I16)/I5</f>
        <v>321.59586681974736</v>
      </c>
      <c r="J11" s="8">
        <f>(J8-J16)/J5</f>
        <v>299.56577595066807</v>
      </c>
      <c r="K11" s="8">
        <f>(K8-K16)/K5</f>
        <v>323.48250825082511</v>
      </c>
      <c r="L11" s="8">
        <f>(L8-L16)/L5</f>
        <v>321.29536355417798</v>
      </c>
      <c r="M11" s="8">
        <f>(M8-M16)/M5</f>
        <v>326.88728024819028</v>
      </c>
      <c r="N11" s="8">
        <f>(N8-N16)/N5</f>
        <v>335.92797055730813</v>
      </c>
      <c r="O11" s="8">
        <f>(O8-O16)/O5</f>
        <v>314.66526371169277</v>
      </c>
      <c r="P11" s="8">
        <f>(P8-P16)/P5</f>
        <v>312.20304975922954</v>
      </c>
      <c r="Q11" s="8">
        <f>(Q8-Q16)/Q5</f>
        <v>319.04717607973424</v>
      </c>
      <c r="R11" s="8">
        <f>(R8-R16)/R5</f>
        <v>306.05603155174759</v>
      </c>
      <c r="S11" s="8">
        <f>(S8-S16)/S5</f>
        <v>324.22385620915031</v>
      </c>
      <c r="T11" s="8">
        <f>(T8-T16)/T5</f>
        <v>313.67185506506763</v>
      </c>
      <c r="U11" s="8">
        <f>(U8-U16)/U5</f>
        <v>325.61757243957805</v>
      </c>
      <c r="V11" s="8">
        <f>(V8-V16)/V5</f>
        <v>325.4588394062078</v>
      </c>
      <c r="W11" s="8">
        <f>(W8-W16)/W5</f>
        <v>324.10627366143859</v>
      </c>
      <c r="X11" s="8">
        <f>(X8-X16)/X5</f>
        <v>319.97667398463227</v>
      </c>
      <c r="Y11" s="8">
        <f>(Y8-Y16)/Y5</f>
        <v>328.94213750850918</v>
      </c>
      <c r="Z11" s="8">
        <f>(Z8-Z16)/Z5</f>
        <v>324.55195162177017</v>
      </c>
      <c r="AA11" s="8">
        <f>(AA8-AA16)/AA5</f>
        <v>332.18653576437589</v>
      </c>
      <c r="AB11" s="8">
        <f>(AB8-AB16)/AB5</f>
        <v>325.30348394120853</v>
      </c>
      <c r="AC11" s="8">
        <f>(AC8-AC16)/AC5</f>
        <v>317.66240542655885</v>
      </c>
      <c r="AD11" s="8">
        <f>(AD8-AD16)/AD5</f>
        <v>320.71342200725513</v>
      </c>
      <c r="AE11" s="8">
        <f>(AE8-AE16)/AE5</f>
        <v>302.6438319507626</v>
      </c>
      <c r="AF11" s="8">
        <f>(AF8-AF16)/AF5</f>
        <v>299.06582577847848</v>
      </c>
      <c r="AG11" s="8">
        <f>(AG8-AG16)/AG5</f>
        <v>297.08755287783617</v>
      </c>
      <c r="AH11" s="8">
        <f>(AH8-AH16)/AH5</f>
        <v>309.88834422657948</v>
      </c>
      <c r="AI11" s="8" t="e">
        <f>(AI8-AI16)/AI5</f>
        <v>#DIV/0!</v>
      </c>
    </row>
    <row r="12" spans="1:35" s="3" customFormat="1" ht="24.95" customHeight="1">
      <c r="A12" s="56"/>
      <c r="B12" s="6" t="s">
        <v>45</v>
      </c>
      <c r="C12" s="8">
        <f>D12+'8月'!C12</f>
        <v>213009.41999999995</v>
      </c>
      <c r="D12" s="8">
        <f t="shared" ref="D12:D16" si="4">SUM(E12:AI12)</f>
        <v>25196.239999999998</v>
      </c>
      <c r="E12" s="7">
        <v>934.44</v>
      </c>
      <c r="F12" s="7">
        <v>956.1</v>
      </c>
      <c r="G12" s="7">
        <v>982.78</v>
      </c>
      <c r="H12" s="7">
        <v>981.06</v>
      </c>
      <c r="I12" s="7">
        <v>1021.64</v>
      </c>
      <c r="J12" s="7">
        <v>954.92</v>
      </c>
      <c r="K12" s="7">
        <v>911.24</v>
      </c>
      <c r="L12" s="7">
        <v>997.68</v>
      </c>
      <c r="M12" s="7">
        <v>971.58</v>
      </c>
      <c r="N12" s="7">
        <v>905.78</v>
      </c>
      <c r="O12" s="7">
        <v>932.66</v>
      </c>
      <c r="P12" s="7">
        <v>926.04</v>
      </c>
      <c r="Q12" s="7">
        <v>964.66</v>
      </c>
      <c r="R12" s="7">
        <f>971.68</f>
        <v>971.68</v>
      </c>
      <c r="S12" s="7">
        <v>834.76</v>
      </c>
      <c r="T12" s="7">
        <v>748.54</v>
      </c>
      <c r="U12" s="7">
        <v>665.08</v>
      </c>
      <c r="V12" s="7">
        <v>710.74</v>
      </c>
      <c r="W12" s="7">
        <v>719.66</v>
      </c>
      <c r="X12" s="7">
        <v>738.12</v>
      </c>
      <c r="Y12" s="7">
        <v>731.54</v>
      </c>
      <c r="Z12" s="7">
        <v>713.76</v>
      </c>
      <c r="AA12" s="7">
        <v>782.28</v>
      </c>
      <c r="AB12" s="7">
        <v>804</v>
      </c>
      <c r="AC12" s="7">
        <v>787.62</v>
      </c>
      <c r="AD12" s="12">
        <v>758.2</v>
      </c>
      <c r="AE12" s="7">
        <v>788.36</v>
      </c>
      <c r="AF12" s="7">
        <v>697.32</v>
      </c>
      <c r="AG12" s="7">
        <v>759.26</v>
      </c>
      <c r="AH12" s="12">
        <v>544.74</v>
      </c>
      <c r="AI12" s="7"/>
    </row>
    <row r="13" spans="1:35" s="3" customFormat="1" ht="24.75" customHeight="1">
      <c r="A13" s="58" t="s">
        <v>46</v>
      </c>
      <c r="B13" s="6" t="s">
        <v>36</v>
      </c>
      <c r="C13" s="8">
        <f>D13+'8月'!C13</f>
        <v>241058</v>
      </c>
      <c r="D13" s="10">
        <f t="shared" si="4"/>
        <v>27820</v>
      </c>
      <c r="E13" s="7">
        <f>347+312+295</f>
        <v>954</v>
      </c>
      <c r="F13" s="7">
        <f>309+344+302</f>
        <v>955</v>
      </c>
      <c r="G13" s="7">
        <f>292+354+301</f>
        <v>947</v>
      </c>
      <c r="H13" s="7">
        <f>343+302+326</f>
        <v>971</v>
      </c>
      <c r="I13" s="7">
        <f>328+338+333</f>
        <v>999</v>
      </c>
      <c r="J13" s="7">
        <f>295+318+284</f>
        <v>897</v>
      </c>
      <c r="K13" s="7">
        <f>297+323+325</f>
        <v>945</v>
      </c>
      <c r="L13" s="7">
        <f>356+315+312</f>
        <v>983</v>
      </c>
      <c r="M13" s="20">
        <f>336+292+317</f>
        <v>945</v>
      </c>
      <c r="N13" s="7">
        <f>324+337+298</f>
        <v>959</v>
      </c>
      <c r="O13" s="7">
        <f>299+339+290</f>
        <v>928</v>
      </c>
      <c r="P13" s="20">
        <f>274+311+307</f>
        <v>892</v>
      </c>
      <c r="Q13" s="7">
        <f>317+325+358</f>
        <v>1000</v>
      </c>
      <c r="R13" s="7">
        <f>286+273+351</f>
        <v>910</v>
      </c>
      <c r="S13" s="7">
        <f>260+305+302</f>
        <v>867</v>
      </c>
      <c r="T13" s="7">
        <f>319+271+333</f>
        <v>923</v>
      </c>
      <c r="U13" s="7">
        <f>338+283+317</f>
        <v>938</v>
      </c>
      <c r="V13" s="7">
        <f>293+307+279</f>
        <v>879</v>
      </c>
      <c r="W13" s="7">
        <f>322+303+298</f>
        <v>923</v>
      </c>
      <c r="X13" s="7">
        <f>313+308+304</f>
        <v>925</v>
      </c>
      <c r="Y13" s="7">
        <f>322+311+300</f>
        <v>933</v>
      </c>
      <c r="Z13" s="7">
        <f>313+308+308</f>
        <v>929</v>
      </c>
      <c r="AA13" s="7">
        <f>264+329+287</f>
        <v>880</v>
      </c>
      <c r="AB13" s="7">
        <f>323+277+310</f>
        <v>910</v>
      </c>
      <c r="AC13" s="7">
        <f>313+307+325</f>
        <v>945</v>
      </c>
      <c r="AD13" s="7">
        <f>335+332+268</f>
        <v>935</v>
      </c>
      <c r="AE13" s="7">
        <f>297+311+248</f>
        <v>856</v>
      </c>
      <c r="AF13" s="7">
        <f>282+308+294</f>
        <v>884</v>
      </c>
      <c r="AG13" s="7">
        <f>313+295+313</f>
        <v>921</v>
      </c>
      <c r="AH13" s="7">
        <f>283+299+305</f>
        <v>887</v>
      </c>
      <c r="AI13" s="7"/>
    </row>
    <row r="14" spans="1:35" s="3" customFormat="1" ht="25.5" customHeight="1">
      <c r="A14" s="59"/>
      <c r="B14" s="6" t="s">
        <v>37</v>
      </c>
      <c r="C14" s="8">
        <f>D14+'8月'!C14</f>
        <v>274494</v>
      </c>
      <c r="D14" s="10">
        <f t="shared" si="4"/>
        <v>30297</v>
      </c>
      <c r="E14" s="7">
        <f>368+368+362</f>
        <v>1098</v>
      </c>
      <c r="F14" s="7">
        <f>368+350+341</f>
        <v>1059</v>
      </c>
      <c r="G14" s="7">
        <f>352+360+313</f>
        <v>1025</v>
      </c>
      <c r="H14" s="7">
        <f>352+354+348</f>
        <v>1054</v>
      </c>
      <c r="I14" s="7">
        <f>347+365+328</f>
        <v>1040</v>
      </c>
      <c r="J14" s="7">
        <f>347+353+332</f>
        <v>1032</v>
      </c>
      <c r="K14" s="7">
        <f>326+342+318</f>
        <v>986</v>
      </c>
      <c r="L14" s="7">
        <f>347+327+345</f>
        <v>1019</v>
      </c>
      <c r="M14" s="20">
        <f>338+318+349</f>
        <v>1005</v>
      </c>
      <c r="N14" s="7">
        <f>346+353+319</f>
        <v>1018</v>
      </c>
      <c r="O14" s="7">
        <f>332+343+321</f>
        <v>996</v>
      </c>
      <c r="P14" s="20">
        <f>344+332+348</f>
        <v>1024</v>
      </c>
      <c r="Q14" s="7">
        <f>328+329+340</f>
        <v>997</v>
      </c>
      <c r="R14" s="7">
        <f>318+333+327</f>
        <v>978</v>
      </c>
      <c r="S14" s="7">
        <f>342+344+353</f>
        <v>1039</v>
      </c>
      <c r="T14" s="7">
        <f>347+377+345</f>
        <v>1069</v>
      </c>
      <c r="U14" s="7">
        <f>342+318+337</f>
        <v>997</v>
      </c>
      <c r="V14" s="7">
        <f>340+357+325</f>
        <v>1022</v>
      </c>
      <c r="W14" s="7">
        <f>335+328+332</f>
        <v>995</v>
      </c>
      <c r="X14" s="7">
        <f>328+351+351</f>
        <v>1030</v>
      </c>
      <c r="Y14" s="7">
        <f>336+317+322</f>
        <v>975</v>
      </c>
      <c r="Z14" s="7">
        <f>324+335+334</f>
        <v>993</v>
      </c>
      <c r="AA14" s="7">
        <f>325+335+321</f>
        <v>981</v>
      </c>
      <c r="AB14" s="7">
        <f>337+319+333</f>
        <v>989</v>
      </c>
      <c r="AC14" s="7">
        <f>349+313+341</f>
        <v>1003</v>
      </c>
      <c r="AD14" s="7">
        <f>339+335+329</f>
        <v>1003</v>
      </c>
      <c r="AE14" s="7">
        <f>341+321+304</f>
        <v>966</v>
      </c>
      <c r="AF14" s="7">
        <f>320+338+328</f>
        <v>986</v>
      </c>
      <c r="AG14" s="7">
        <f>327+332+327</f>
        <v>986</v>
      </c>
      <c r="AH14" s="7">
        <f>323+309+300</f>
        <v>932</v>
      </c>
      <c r="AI14" s="7"/>
    </row>
    <row r="15" spans="1:35" s="3" customFormat="1" ht="24" customHeight="1">
      <c r="A15" s="60"/>
      <c r="B15" s="7" t="s">
        <v>38</v>
      </c>
      <c r="C15" s="8">
        <f>D15+'8月'!C15</f>
        <v>515552</v>
      </c>
      <c r="D15" s="7">
        <f t="shared" si="4"/>
        <v>58117</v>
      </c>
      <c r="E15" s="7">
        <f>E13+E14</f>
        <v>2052</v>
      </c>
      <c r="F15" s="7">
        <f t="shared" ref="F15:AI15" si="5">F13+F14</f>
        <v>2014</v>
      </c>
      <c r="G15" s="7">
        <f t="shared" si="5"/>
        <v>1972</v>
      </c>
      <c r="H15" s="7">
        <f t="shared" si="5"/>
        <v>2025</v>
      </c>
      <c r="I15" s="7">
        <f t="shared" si="5"/>
        <v>2039</v>
      </c>
      <c r="J15" s="7">
        <f t="shared" si="5"/>
        <v>1929</v>
      </c>
      <c r="K15" s="7">
        <f t="shared" si="5"/>
        <v>1931</v>
      </c>
      <c r="L15" s="7">
        <f t="shared" si="5"/>
        <v>2002</v>
      </c>
      <c r="M15" s="7">
        <f t="shared" si="5"/>
        <v>1950</v>
      </c>
      <c r="N15" s="7">
        <f t="shared" si="5"/>
        <v>1977</v>
      </c>
      <c r="O15" s="7">
        <f t="shared" si="5"/>
        <v>1924</v>
      </c>
      <c r="P15" s="7">
        <f t="shared" si="5"/>
        <v>1916</v>
      </c>
      <c r="Q15" s="7">
        <f t="shared" si="5"/>
        <v>1997</v>
      </c>
      <c r="R15" s="7">
        <f t="shared" si="5"/>
        <v>1888</v>
      </c>
      <c r="S15" s="7">
        <f t="shared" si="5"/>
        <v>1906</v>
      </c>
      <c r="T15" s="7">
        <f t="shared" si="5"/>
        <v>1992</v>
      </c>
      <c r="U15" s="7">
        <f t="shared" si="5"/>
        <v>1935</v>
      </c>
      <c r="V15" s="7">
        <f t="shared" si="5"/>
        <v>1901</v>
      </c>
      <c r="W15" s="7">
        <f t="shared" si="5"/>
        <v>1918</v>
      </c>
      <c r="X15" s="7">
        <f t="shared" si="5"/>
        <v>1955</v>
      </c>
      <c r="Y15" s="7">
        <f t="shared" si="5"/>
        <v>1908</v>
      </c>
      <c r="Z15" s="7">
        <f t="shared" si="5"/>
        <v>1922</v>
      </c>
      <c r="AA15" s="7">
        <f t="shared" si="5"/>
        <v>1861</v>
      </c>
      <c r="AB15" s="7">
        <f t="shared" si="5"/>
        <v>1899</v>
      </c>
      <c r="AC15" s="7">
        <f t="shared" si="5"/>
        <v>1948</v>
      </c>
      <c r="AD15" s="7">
        <f t="shared" si="5"/>
        <v>1938</v>
      </c>
      <c r="AE15" s="7">
        <f t="shared" si="5"/>
        <v>1822</v>
      </c>
      <c r="AF15" s="7">
        <f t="shared" si="5"/>
        <v>1870</v>
      </c>
      <c r="AG15" s="7">
        <f t="shared" si="5"/>
        <v>1907</v>
      </c>
      <c r="AH15" s="7">
        <f t="shared" si="5"/>
        <v>1819</v>
      </c>
      <c r="AI15" s="7">
        <f t="shared" si="5"/>
        <v>0</v>
      </c>
    </row>
    <row r="16" spans="1:35" s="3" customFormat="1" ht="24.75" customHeight="1">
      <c r="A16" s="56" t="s">
        <v>47</v>
      </c>
      <c r="B16" s="7" t="s">
        <v>38</v>
      </c>
      <c r="C16" s="8">
        <f>D16+'8月'!C16</f>
        <v>13510240</v>
      </c>
      <c r="D16" s="7">
        <f t="shared" si="4"/>
        <v>1549640</v>
      </c>
      <c r="E16" s="7">
        <v>50860</v>
      </c>
      <c r="F16" s="7">
        <v>52660</v>
      </c>
      <c r="G16" s="7">
        <v>52720</v>
      </c>
      <c r="H16" s="7">
        <v>51660</v>
      </c>
      <c r="I16" s="7">
        <v>52620</v>
      </c>
      <c r="J16" s="7">
        <v>52480</v>
      </c>
      <c r="K16" s="7">
        <v>49380</v>
      </c>
      <c r="L16" s="7">
        <v>51920</v>
      </c>
      <c r="M16" s="7">
        <v>49400</v>
      </c>
      <c r="N16" s="7">
        <v>46200</v>
      </c>
      <c r="O16" s="7">
        <v>50700</v>
      </c>
      <c r="P16" s="7">
        <v>53540</v>
      </c>
      <c r="Q16" s="7">
        <v>54220</v>
      </c>
      <c r="R16" s="7">
        <v>53620</v>
      </c>
      <c r="S16" s="7">
        <v>52860</v>
      </c>
      <c r="T16" s="7">
        <v>54240</v>
      </c>
      <c r="U16" s="7">
        <v>51440</v>
      </c>
      <c r="V16" s="7">
        <v>52660</v>
      </c>
      <c r="W16" s="7">
        <v>52040</v>
      </c>
      <c r="X16" s="7">
        <v>51480</v>
      </c>
      <c r="Y16" s="7">
        <v>51860</v>
      </c>
      <c r="Z16" s="7">
        <v>51280</v>
      </c>
      <c r="AA16" s="7">
        <v>51360</v>
      </c>
      <c r="AB16" s="7">
        <v>49240</v>
      </c>
      <c r="AC16" s="7">
        <v>51820</v>
      </c>
      <c r="AD16" s="7">
        <v>53360</v>
      </c>
      <c r="AE16" s="7">
        <v>48640</v>
      </c>
      <c r="AF16" s="7">
        <v>53120</v>
      </c>
      <c r="AG16" s="7">
        <v>51700</v>
      </c>
      <c r="AH16" s="7">
        <v>50560</v>
      </c>
      <c r="AI16" s="7"/>
    </row>
    <row r="17" spans="1:35" s="3" customFormat="1" ht="24.95" customHeight="1">
      <c r="A17" s="56"/>
      <c r="B17" s="6" t="s">
        <v>48</v>
      </c>
      <c r="C17" s="11">
        <f>SUM(C16/C8)</f>
        <v>0.16284643668192214</v>
      </c>
      <c r="D17" s="11">
        <f>SUM(D16/D8)</f>
        <v>0.17652374528244608</v>
      </c>
      <c r="E17" s="11">
        <f>SUM(E16/E8)</f>
        <v>0.1635106895997428</v>
      </c>
      <c r="F17" s="11">
        <f>SUM(F16/F8)</f>
        <v>0.17393027595660002</v>
      </c>
      <c r="G17" s="11">
        <f>SUM(G16/G8)</f>
        <v>0.17287002941282556</v>
      </c>
      <c r="H17" s="11">
        <f>SUM(H16/H8)</f>
        <v>0.17111966451800964</v>
      </c>
      <c r="I17" s="11">
        <f>SUM(I16/I8)</f>
        <v>0.17268368562511691</v>
      </c>
      <c r="J17" s="11">
        <f>SUM(J16/J8)</f>
        <v>0.18371361959238541</v>
      </c>
      <c r="K17" s="11">
        <f>SUM(K16/K8)</f>
        <v>0.16772072359706269</v>
      </c>
      <c r="L17" s="11">
        <f>SUM(L16/L8)</f>
        <v>0.17266435871087035</v>
      </c>
      <c r="M17" s="11">
        <f>SUM(M16/M8)</f>
        <v>0.16342463940717217</v>
      </c>
      <c r="N17" s="11">
        <f>SUM(N16/N8)</f>
        <v>0.15309470000729022</v>
      </c>
      <c r="O17" s="11">
        <f>SUM(O16/O8)</f>
        <v>0.17486376491687936</v>
      </c>
      <c r="P17" s="11">
        <f>SUM(P16/P8)</f>
        <v>0.18658758011172952</v>
      </c>
      <c r="Q17" s="11">
        <f>SUM(Q16/Q8)</f>
        <v>0.18423189705847376</v>
      </c>
      <c r="R17" s="11">
        <f>SUM(R16/R8)</f>
        <v>0.19241879976889648</v>
      </c>
      <c r="S17" s="11">
        <f>SUM(S16/S8)</f>
        <v>0.1816682132178575</v>
      </c>
      <c r="T17" s="11">
        <f>SUM(T16/T8)</f>
        <v>0.18074216250799743</v>
      </c>
      <c r="U17" s="11">
        <f>SUM(U16/U8)</f>
        <v>0.17419868267325894</v>
      </c>
      <c r="V17" s="11">
        <f>SUM(V16/V8)</f>
        <v>0.1792223262145835</v>
      </c>
      <c r="W17" s="11">
        <f>SUM(W16/W8)</f>
        <v>0.17837250513283678</v>
      </c>
      <c r="X17" s="11">
        <f>SUM(X16/X8)</f>
        <v>0.1808352565521166</v>
      </c>
      <c r="Y17" s="11">
        <f>SUM(Y16/Y8)</f>
        <v>0.17671432660460426</v>
      </c>
      <c r="Z17" s="11">
        <f>SUM(Z16/Z8)</f>
        <v>0.17841238031618792</v>
      </c>
      <c r="AA17" s="11">
        <f>SUM(AA16/AA8)</f>
        <v>0.17820401167208519</v>
      </c>
      <c r="AB17" s="11">
        <f>SUM(AB16/AB8)</f>
        <v>0.17081030828416119</v>
      </c>
      <c r="AC17" s="11">
        <f>SUM(AC16/AC8)</f>
        <v>0.17545879325523125</v>
      </c>
      <c r="AD17" s="11">
        <f>SUM(AD16/AD8)</f>
        <v>0.1826978056404866</v>
      </c>
      <c r="AE17" s="11">
        <f>SUM(AE16/AE8)</f>
        <v>0.17697827067778601</v>
      </c>
      <c r="AF17" s="11">
        <f>SUM(AF16/AF8)</f>
        <v>0.18921489354881224</v>
      </c>
      <c r="AG17" s="11">
        <f>SUM(AG16/AG8)</f>
        <v>0.18239033648723973</v>
      </c>
      <c r="AH17" s="11">
        <f>SUM(AH16/AH8)</f>
        <v>0.18177765314120126</v>
      </c>
      <c r="AI17" s="11" t="e">
        <f>SUM(AI16/AI8)</f>
        <v>#DIV/0!</v>
      </c>
    </row>
    <row r="18" spans="1:35" s="3" customFormat="1" ht="24.95" customHeight="1">
      <c r="A18" s="13"/>
      <c r="B18" s="13" t="s">
        <v>49</v>
      </c>
      <c r="C18" s="7">
        <f>D18+'8月'!C18</f>
        <v>92</v>
      </c>
      <c r="D18" s="7">
        <f>COUNT(E18:AI18)</f>
        <v>30</v>
      </c>
      <c r="E18" s="14">
        <v>6400</v>
      </c>
      <c r="F18" s="14">
        <v>6500</v>
      </c>
      <c r="G18" s="14">
        <v>6500</v>
      </c>
      <c r="H18" s="14">
        <v>6700</v>
      </c>
      <c r="I18" s="14">
        <v>6800</v>
      </c>
      <c r="J18" s="7">
        <v>6900</v>
      </c>
      <c r="K18" s="14">
        <v>6900</v>
      </c>
      <c r="L18" s="14">
        <v>7000</v>
      </c>
      <c r="M18" s="7">
        <v>7100</v>
      </c>
      <c r="N18" s="7">
        <v>7100</v>
      </c>
      <c r="O18" s="7">
        <v>7200</v>
      </c>
      <c r="P18" s="7">
        <v>7100</v>
      </c>
      <c r="Q18" s="7">
        <v>7200</v>
      </c>
      <c r="R18" s="7">
        <v>7300</v>
      </c>
      <c r="S18" s="7">
        <v>7300</v>
      </c>
      <c r="T18" s="7">
        <v>7200</v>
      </c>
      <c r="U18" s="7">
        <v>7000</v>
      </c>
      <c r="V18" s="7">
        <v>6900</v>
      </c>
      <c r="W18" s="7">
        <v>6600</v>
      </c>
      <c r="X18" s="7">
        <v>6600</v>
      </c>
      <c r="Y18" s="7">
        <v>6500</v>
      </c>
      <c r="Z18" s="7">
        <v>6400</v>
      </c>
      <c r="AA18" s="7">
        <v>6200</v>
      </c>
      <c r="AB18" s="7">
        <v>6200</v>
      </c>
      <c r="AC18" s="7">
        <v>5900</v>
      </c>
      <c r="AD18" s="7">
        <v>5900</v>
      </c>
      <c r="AE18" s="7">
        <v>5900</v>
      </c>
      <c r="AF18" s="7">
        <v>5600</v>
      </c>
      <c r="AG18" s="7">
        <v>5500</v>
      </c>
      <c r="AH18" s="7">
        <v>5300</v>
      </c>
      <c r="AI18" s="7"/>
    </row>
    <row r="19" spans="1:35" s="3" customFormat="1" ht="24.95" customHeight="1">
      <c r="A19" s="61" t="s">
        <v>50</v>
      </c>
      <c r="B19" s="13" t="s">
        <v>51</v>
      </c>
      <c r="C19" s="7">
        <f>D19+'8月'!C19</f>
        <v>7352.22</v>
      </c>
      <c r="D19" s="7">
        <f t="shared" ref="D19:D28" si="6">SUM(E19:AI19)</f>
        <v>0</v>
      </c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28"/>
      <c r="T19" s="28"/>
      <c r="U19" s="28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</row>
    <row r="20" spans="1:35" s="3" customFormat="1" ht="24.95" customHeight="1">
      <c r="A20" s="62"/>
      <c r="B20" s="13" t="s">
        <v>52</v>
      </c>
      <c r="C20" s="7">
        <f>D20+'8月'!C20</f>
        <v>84716.44</v>
      </c>
      <c r="D20" s="7">
        <f t="shared" si="6"/>
        <v>9816.7199999999993</v>
      </c>
      <c r="E20" s="15">
        <v>338.18</v>
      </c>
      <c r="F20" s="15">
        <v>333.62</v>
      </c>
      <c r="G20" s="15">
        <v>340.88</v>
      </c>
      <c r="H20" s="15">
        <v>323.10000000000002</v>
      </c>
      <c r="I20" s="15">
        <v>375.1</v>
      </c>
      <c r="J20" s="15">
        <v>322.32</v>
      </c>
      <c r="K20" s="15">
        <v>315.36</v>
      </c>
      <c r="L20" s="15">
        <v>344.06</v>
      </c>
      <c r="M20" s="15">
        <v>321.74</v>
      </c>
      <c r="N20" s="15">
        <v>324.52</v>
      </c>
      <c r="O20" s="15">
        <v>275.12</v>
      </c>
      <c r="P20" s="15">
        <v>324</v>
      </c>
      <c r="Q20" s="15">
        <v>348.12</v>
      </c>
      <c r="R20" s="15">
        <v>323.86</v>
      </c>
      <c r="S20" s="28">
        <v>322.83999999999997</v>
      </c>
      <c r="T20" s="28">
        <v>303.22000000000003</v>
      </c>
      <c r="U20" s="28">
        <v>293</v>
      </c>
      <c r="V20" s="15">
        <v>300.86</v>
      </c>
      <c r="W20" s="15">
        <v>340.4</v>
      </c>
      <c r="X20" s="15">
        <v>372.12</v>
      </c>
      <c r="Y20" s="15">
        <v>325.02</v>
      </c>
      <c r="Z20" s="15">
        <v>378.36</v>
      </c>
      <c r="AA20" s="15">
        <v>352.72</v>
      </c>
      <c r="AB20" s="15">
        <v>345.16</v>
      </c>
      <c r="AC20" s="15">
        <v>329.44</v>
      </c>
      <c r="AD20" s="15">
        <v>309.26</v>
      </c>
      <c r="AE20" s="15">
        <v>316.24</v>
      </c>
      <c r="AF20" s="15">
        <v>329.52</v>
      </c>
      <c r="AG20" s="15">
        <v>325.3</v>
      </c>
      <c r="AH20" s="15">
        <v>263.27999999999997</v>
      </c>
      <c r="AI20" s="15"/>
    </row>
    <row r="21" spans="1:35" s="3" customFormat="1" ht="24.95" customHeight="1">
      <c r="A21" s="62"/>
      <c r="B21" s="13" t="s">
        <v>53</v>
      </c>
      <c r="C21" s="7">
        <f>D21+'8月'!C21</f>
        <v>0</v>
      </c>
      <c r="D21" s="7">
        <f t="shared" si="6"/>
        <v>0</v>
      </c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28"/>
      <c r="T21" s="28"/>
      <c r="U21" s="28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</row>
    <row r="22" spans="1:35" s="3" customFormat="1" ht="24.95" customHeight="1">
      <c r="A22" s="62"/>
      <c r="B22" s="13" t="s">
        <v>54</v>
      </c>
      <c r="C22" s="7">
        <f>D22+'8月'!C22</f>
        <v>0</v>
      </c>
      <c r="D22" s="7">
        <f t="shared" si="6"/>
        <v>0</v>
      </c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28"/>
      <c r="T22" s="28"/>
      <c r="U22" s="28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</row>
    <row r="23" spans="1:35" s="3" customFormat="1" ht="22.15" customHeight="1">
      <c r="A23" s="62"/>
      <c r="B23" s="13" t="s">
        <v>55</v>
      </c>
      <c r="C23" s="7">
        <f>D23+'8月'!C23</f>
        <v>0</v>
      </c>
      <c r="D23" s="7">
        <f t="shared" si="6"/>
        <v>0</v>
      </c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28"/>
      <c r="T23" s="28"/>
      <c r="U23" s="28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</row>
    <row r="24" spans="1:35" s="3" customFormat="1" ht="22.15" customHeight="1">
      <c r="A24" s="62"/>
      <c r="B24" s="13" t="s">
        <v>56</v>
      </c>
      <c r="C24" s="7">
        <f>D24+'8月'!C24</f>
        <v>11611.08</v>
      </c>
      <c r="D24" s="7">
        <f t="shared" si="6"/>
        <v>2750.34</v>
      </c>
      <c r="E24" s="15">
        <v>212.52</v>
      </c>
      <c r="F24" s="15">
        <v>194.18</v>
      </c>
      <c r="G24" s="15">
        <v>197.06</v>
      </c>
      <c r="H24" s="15">
        <v>170.9</v>
      </c>
      <c r="I24" s="15">
        <v>189.12</v>
      </c>
      <c r="J24" s="15">
        <v>204.62</v>
      </c>
      <c r="K24" s="15">
        <v>173.12</v>
      </c>
      <c r="L24" s="15">
        <v>189.94</v>
      </c>
      <c r="M24" s="15">
        <v>196.02</v>
      </c>
      <c r="N24" s="15">
        <v>174.72</v>
      </c>
      <c r="O24" s="15">
        <v>190.66</v>
      </c>
      <c r="P24" s="15">
        <v>194.68</v>
      </c>
      <c r="Q24" s="15">
        <v>176.94</v>
      </c>
      <c r="R24" s="15">
        <v>196</v>
      </c>
      <c r="S24" s="28">
        <v>89.86</v>
      </c>
      <c r="T24" s="28"/>
      <c r="U24" s="28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</row>
    <row r="25" spans="1:35" s="3" customFormat="1" ht="21.75" customHeight="1">
      <c r="A25" s="62"/>
      <c r="B25" s="13" t="s">
        <v>57</v>
      </c>
      <c r="C25" s="7">
        <f>D25+'8月'!C25</f>
        <v>90048.66</v>
      </c>
      <c r="D25" s="7">
        <f t="shared" si="6"/>
        <v>10219.219999999998</v>
      </c>
      <c r="E25" s="15">
        <v>302.02</v>
      </c>
      <c r="F25" s="15">
        <v>344.8</v>
      </c>
      <c r="G25" s="15">
        <v>365.04</v>
      </c>
      <c r="H25" s="15">
        <v>397.08</v>
      </c>
      <c r="I25" s="15">
        <v>375.92</v>
      </c>
      <c r="J25" s="15">
        <v>345.52</v>
      </c>
      <c r="K25" s="15">
        <v>359.14</v>
      </c>
      <c r="L25" s="15">
        <v>391.02</v>
      </c>
      <c r="M25" s="15">
        <v>369.36</v>
      </c>
      <c r="N25" s="15">
        <v>339.08</v>
      </c>
      <c r="O25" s="15">
        <v>374.9</v>
      </c>
      <c r="P25" s="15">
        <v>346.18</v>
      </c>
      <c r="Q25" s="15">
        <v>359.5</v>
      </c>
      <c r="R25" s="15">
        <v>356.26</v>
      </c>
      <c r="S25" s="28">
        <v>341</v>
      </c>
      <c r="T25" s="28">
        <v>371.16</v>
      </c>
      <c r="U25" s="28">
        <v>296.42</v>
      </c>
      <c r="V25" s="15">
        <v>324.86</v>
      </c>
      <c r="W25" s="15">
        <v>295.27999999999997</v>
      </c>
      <c r="X25" s="15">
        <v>280.27999999999997</v>
      </c>
      <c r="Y25" s="15">
        <v>329.28</v>
      </c>
      <c r="Z25" s="15">
        <v>251.32</v>
      </c>
      <c r="AA25" s="15">
        <v>336.42</v>
      </c>
      <c r="AB25" s="15">
        <v>382</v>
      </c>
      <c r="AC25" s="15">
        <v>378.06</v>
      </c>
      <c r="AD25" s="15">
        <v>369.72</v>
      </c>
      <c r="AE25" s="15">
        <v>385.46</v>
      </c>
      <c r="AF25" s="15">
        <v>291.77999999999997</v>
      </c>
      <c r="AG25" s="15">
        <v>362.72</v>
      </c>
      <c r="AH25" s="15">
        <v>197.64</v>
      </c>
      <c r="AI25" s="15"/>
    </row>
    <row r="26" spans="1:35" s="3" customFormat="1" ht="18" customHeight="1">
      <c r="A26" s="62"/>
      <c r="B26" s="13" t="s">
        <v>58</v>
      </c>
      <c r="C26" s="7">
        <f>D26+'8月'!C26</f>
        <v>19281.019999999997</v>
      </c>
      <c r="D26" s="7">
        <f t="shared" si="6"/>
        <v>2409.9599999999996</v>
      </c>
      <c r="E26" s="15">
        <v>81.72</v>
      </c>
      <c r="F26" s="15">
        <v>83.5</v>
      </c>
      <c r="G26" s="15">
        <v>79.8</v>
      </c>
      <c r="H26" s="15">
        <v>89.98</v>
      </c>
      <c r="I26" s="15">
        <v>81.5</v>
      </c>
      <c r="J26" s="15">
        <v>82.46</v>
      </c>
      <c r="K26" s="15">
        <v>63.62</v>
      </c>
      <c r="L26" s="15">
        <v>72.66</v>
      </c>
      <c r="M26" s="15">
        <v>84.46</v>
      </c>
      <c r="N26" s="15">
        <v>67.459999999999994</v>
      </c>
      <c r="O26" s="15">
        <v>91.98</v>
      </c>
      <c r="P26" s="15">
        <v>61.18</v>
      </c>
      <c r="Q26" s="15">
        <v>80.099999999999994</v>
      </c>
      <c r="R26" s="15">
        <v>95.56</v>
      </c>
      <c r="S26" s="15">
        <v>81.06</v>
      </c>
      <c r="T26" s="28">
        <v>74.16</v>
      </c>
      <c r="U26" s="28">
        <v>75.66</v>
      </c>
      <c r="V26" s="15">
        <v>85.02</v>
      </c>
      <c r="W26" s="15">
        <v>83.98</v>
      </c>
      <c r="X26" s="15">
        <v>85.72</v>
      </c>
      <c r="Y26" s="15">
        <v>77.239999999999995</v>
      </c>
      <c r="Z26" s="15">
        <v>84.08</v>
      </c>
      <c r="AA26" s="15">
        <v>93.14</v>
      </c>
      <c r="AB26" s="15">
        <v>76.84</v>
      </c>
      <c r="AC26" s="15">
        <v>80.12</v>
      </c>
      <c r="AD26" s="15">
        <v>79.22</v>
      </c>
      <c r="AE26" s="15">
        <v>86.66</v>
      </c>
      <c r="AF26" s="15">
        <v>76.02</v>
      </c>
      <c r="AG26" s="15">
        <v>71.239999999999995</v>
      </c>
      <c r="AH26" s="15">
        <v>83.82</v>
      </c>
      <c r="AI26" s="15"/>
    </row>
    <row r="27" spans="1:35" s="3" customFormat="1" ht="18" customHeight="1">
      <c r="A27" s="62"/>
      <c r="B27" s="16" t="s">
        <v>59</v>
      </c>
      <c r="C27" s="7">
        <f>D27+'8月'!C27</f>
        <v>0</v>
      </c>
      <c r="D27" s="7">
        <f t="shared" si="6"/>
        <v>0</v>
      </c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28"/>
      <c r="U27" s="28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</row>
    <row r="28" spans="1:35" s="3" customFormat="1" ht="18" customHeight="1">
      <c r="A28" s="62"/>
      <c r="B28" s="16" t="s">
        <v>60</v>
      </c>
      <c r="C28" s="7">
        <f>D28+'8月'!C28</f>
        <v>0</v>
      </c>
      <c r="D28" s="7">
        <f t="shared" si="6"/>
        <v>0</v>
      </c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28"/>
      <c r="U28" s="28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</row>
    <row r="29" spans="1:35" s="3" customFormat="1" ht="18" hidden="1" customHeight="1">
      <c r="A29" s="63"/>
      <c r="B29" s="16"/>
      <c r="C29" s="7">
        <f>D29+'8月'!C29</f>
        <v>0</v>
      </c>
      <c r="D29" s="7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</row>
    <row r="30" spans="1:35" s="3" customFormat="1" ht="26.1" customHeight="1">
      <c r="A30" s="12"/>
      <c r="B30" s="12" t="s">
        <v>61</v>
      </c>
      <c r="C30" s="7">
        <f>D30+'8月'!C30</f>
        <v>213009.41999999998</v>
      </c>
      <c r="D30" s="7">
        <f>SUM(D19:D29)</f>
        <v>25196.239999999998</v>
      </c>
      <c r="E30" s="7">
        <f t="shared" ref="E30:AI30" si="7">SUM(E19:E29)</f>
        <v>934.44</v>
      </c>
      <c r="F30" s="7">
        <f t="shared" si="7"/>
        <v>956.09999999999991</v>
      </c>
      <c r="G30" s="7">
        <f t="shared" si="7"/>
        <v>982.78</v>
      </c>
      <c r="H30" s="7">
        <f t="shared" si="7"/>
        <v>981.06</v>
      </c>
      <c r="I30" s="7">
        <f t="shared" si="7"/>
        <v>1021.6400000000001</v>
      </c>
      <c r="J30" s="7">
        <f t="shared" si="7"/>
        <v>954.92000000000007</v>
      </c>
      <c r="K30" s="7">
        <f t="shared" si="7"/>
        <v>911.24</v>
      </c>
      <c r="L30" s="7">
        <f t="shared" si="7"/>
        <v>997.68</v>
      </c>
      <c r="M30" s="7">
        <f t="shared" si="7"/>
        <v>971.58</v>
      </c>
      <c r="N30" s="7">
        <f t="shared" si="7"/>
        <v>905.78</v>
      </c>
      <c r="O30" s="7">
        <f t="shared" si="7"/>
        <v>932.66</v>
      </c>
      <c r="P30" s="7">
        <f t="shared" si="7"/>
        <v>926.04000000000008</v>
      </c>
      <c r="Q30" s="7">
        <f t="shared" si="7"/>
        <v>964.66</v>
      </c>
      <c r="R30" s="7">
        <f t="shared" si="7"/>
        <v>971.68000000000006</v>
      </c>
      <c r="S30" s="7">
        <f t="shared" si="7"/>
        <v>834.76</v>
      </c>
      <c r="T30" s="7">
        <f t="shared" si="7"/>
        <v>748.54000000000008</v>
      </c>
      <c r="U30" s="7">
        <f t="shared" si="7"/>
        <v>665.08</v>
      </c>
      <c r="V30" s="7">
        <f t="shared" si="7"/>
        <v>710.74</v>
      </c>
      <c r="W30" s="7">
        <f t="shared" si="7"/>
        <v>719.66</v>
      </c>
      <c r="X30" s="7">
        <f t="shared" si="7"/>
        <v>738.12</v>
      </c>
      <c r="Y30" s="7">
        <f t="shared" si="7"/>
        <v>731.54</v>
      </c>
      <c r="Z30" s="7">
        <f t="shared" si="7"/>
        <v>713.7600000000001</v>
      </c>
      <c r="AA30" s="7">
        <f t="shared" si="7"/>
        <v>782.28000000000009</v>
      </c>
      <c r="AB30" s="7">
        <f t="shared" si="7"/>
        <v>804.00000000000011</v>
      </c>
      <c r="AC30" s="7">
        <f t="shared" si="7"/>
        <v>787.62</v>
      </c>
      <c r="AD30" s="7">
        <f t="shared" si="7"/>
        <v>758.2</v>
      </c>
      <c r="AE30" s="7">
        <f t="shared" si="7"/>
        <v>788.36</v>
      </c>
      <c r="AF30" s="7">
        <f t="shared" si="7"/>
        <v>697.31999999999994</v>
      </c>
      <c r="AG30" s="7">
        <f t="shared" si="7"/>
        <v>759.26</v>
      </c>
      <c r="AH30" s="7">
        <f t="shared" si="7"/>
        <v>544.74</v>
      </c>
      <c r="AI30" s="7">
        <f t="shared" si="7"/>
        <v>0</v>
      </c>
    </row>
    <row r="31" spans="1:35" s="3" customFormat="1" ht="24.95" customHeight="1">
      <c r="A31" s="57" t="s">
        <v>62</v>
      </c>
      <c r="B31" s="7" t="s">
        <v>63</v>
      </c>
      <c r="C31" s="7">
        <f>D31+'8月'!C31</f>
        <v>38391.46</v>
      </c>
      <c r="D31" s="7">
        <f t="shared" ref="D31:D37" si="8">SUM(E31:AI31)</f>
        <v>3704.1</v>
      </c>
      <c r="E31" s="7">
        <v>112.2</v>
      </c>
      <c r="F31" s="7">
        <v>212.44</v>
      </c>
      <c r="G31" s="7">
        <v>182.12</v>
      </c>
      <c r="H31" s="29">
        <v>160.69999999999999</v>
      </c>
      <c r="I31" s="7">
        <v>147.24</v>
      </c>
      <c r="J31" s="7">
        <v>156.9</v>
      </c>
      <c r="K31" s="7">
        <v>119.62</v>
      </c>
      <c r="L31" s="7">
        <v>199.08</v>
      </c>
      <c r="M31" s="7">
        <v>107.04</v>
      </c>
      <c r="N31" s="7">
        <v>0</v>
      </c>
      <c r="O31" s="7">
        <v>204.38</v>
      </c>
      <c r="P31" s="7">
        <v>109.78</v>
      </c>
      <c r="Q31" s="7">
        <v>129.44</v>
      </c>
      <c r="R31" s="7">
        <v>109.22</v>
      </c>
      <c r="S31" s="7">
        <v>109.08</v>
      </c>
      <c r="T31" s="7">
        <v>86.58</v>
      </c>
      <c r="U31" s="29">
        <v>88.2</v>
      </c>
      <c r="V31" s="7">
        <v>132.30000000000001</v>
      </c>
      <c r="W31" s="7">
        <v>22.3</v>
      </c>
      <c r="X31" s="7">
        <v>148.41999999999999</v>
      </c>
      <c r="Y31" s="7">
        <v>144.97999999999999</v>
      </c>
      <c r="Z31" s="7">
        <v>85.08</v>
      </c>
      <c r="AA31" s="7">
        <v>181.3</v>
      </c>
      <c r="AB31" s="29">
        <v>154.88</v>
      </c>
      <c r="AC31" s="29">
        <v>129.02000000000001</v>
      </c>
      <c r="AD31" s="29">
        <v>198.46</v>
      </c>
      <c r="AE31" s="29">
        <v>0</v>
      </c>
      <c r="AF31" s="29">
        <v>81.72</v>
      </c>
      <c r="AG31" s="29">
        <v>191.62</v>
      </c>
      <c r="AH31" s="29">
        <v>0</v>
      </c>
      <c r="AI31" s="7"/>
    </row>
    <row r="32" spans="1:35" s="3" customFormat="1" ht="24.95" customHeight="1">
      <c r="A32" s="57"/>
      <c r="B32" s="7" t="s">
        <v>64</v>
      </c>
      <c r="C32" s="7">
        <f>D32+'8月'!C32</f>
        <v>5001.74</v>
      </c>
      <c r="D32" s="7">
        <f t="shared" si="8"/>
        <v>588.32000000000016</v>
      </c>
      <c r="E32" s="7">
        <v>22.52</v>
      </c>
      <c r="F32" s="7">
        <v>21.76</v>
      </c>
      <c r="G32" s="7">
        <v>19.66</v>
      </c>
      <c r="H32" s="20">
        <v>16.16</v>
      </c>
      <c r="I32" s="7">
        <v>21.94</v>
      </c>
      <c r="J32" s="7">
        <v>17.12</v>
      </c>
      <c r="K32" s="7">
        <v>18.579999999999998</v>
      </c>
      <c r="L32" s="7">
        <v>21.88</v>
      </c>
      <c r="M32" s="7">
        <v>22.22</v>
      </c>
      <c r="N32" s="7">
        <v>17.68</v>
      </c>
      <c r="O32" s="7">
        <v>21.6</v>
      </c>
      <c r="P32" s="7">
        <v>22.72</v>
      </c>
      <c r="Q32" s="7">
        <v>18.5</v>
      </c>
      <c r="R32" s="7">
        <v>22.04</v>
      </c>
      <c r="S32" s="7">
        <v>23.08</v>
      </c>
      <c r="T32" s="7">
        <v>0</v>
      </c>
      <c r="U32" s="7">
        <v>19.3</v>
      </c>
      <c r="V32" s="7">
        <v>19.920000000000002</v>
      </c>
      <c r="W32" s="7">
        <v>41.02</v>
      </c>
      <c r="X32" s="7">
        <v>20.2</v>
      </c>
      <c r="Y32" s="7">
        <v>18.440000000000001</v>
      </c>
      <c r="Z32" s="7">
        <v>0</v>
      </c>
      <c r="AA32" s="7">
        <v>21.12</v>
      </c>
      <c r="AB32" s="20">
        <v>20.22</v>
      </c>
      <c r="AC32" s="20">
        <v>19.2</v>
      </c>
      <c r="AD32" s="20">
        <v>21.38</v>
      </c>
      <c r="AE32" s="20">
        <v>11.54</v>
      </c>
      <c r="AF32" s="20">
        <v>20.32</v>
      </c>
      <c r="AG32" s="20">
        <v>18.7</v>
      </c>
      <c r="AH32" s="20">
        <v>29.5</v>
      </c>
      <c r="AI32" s="7"/>
    </row>
    <row r="33" spans="1:35" s="3" customFormat="1" ht="24.95" customHeight="1">
      <c r="A33" s="57"/>
      <c r="B33" s="6" t="s">
        <v>65</v>
      </c>
      <c r="C33" s="7">
        <f>D33+'8月'!C33</f>
        <v>17591</v>
      </c>
      <c r="D33" s="7">
        <f t="shared" si="8"/>
        <v>2206</v>
      </c>
      <c r="E33" s="7">
        <v>139</v>
      </c>
      <c r="F33" s="7">
        <v>0</v>
      </c>
      <c r="G33" s="7">
        <v>149</v>
      </c>
      <c r="H33" s="7">
        <v>0</v>
      </c>
      <c r="I33" s="7">
        <v>119</v>
      </c>
      <c r="J33" s="7">
        <v>0</v>
      </c>
      <c r="K33" s="7">
        <v>118</v>
      </c>
      <c r="L33" s="7">
        <v>69</v>
      </c>
      <c r="M33" s="7">
        <v>74</v>
      </c>
      <c r="N33" s="7">
        <v>95</v>
      </c>
      <c r="O33" s="7">
        <v>61</v>
      </c>
      <c r="P33" s="7">
        <v>188</v>
      </c>
      <c r="Q33" s="7">
        <v>88</v>
      </c>
      <c r="R33" s="7">
        <v>80</v>
      </c>
      <c r="S33" s="7">
        <v>83</v>
      </c>
      <c r="T33" s="7">
        <v>0</v>
      </c>
      <c r="U33" s="7">
        <v>53</v>
      </c>
      <c r="V33" s="7">
        <v>0</v>
      </c>
      <c r="W33" s="7">
        <v>215</v>
      </c>
      <c r="X33" s="7">
        <v>0</v>
      </c>
      <c r="Y33" s="7">
        <v>0</v>
      </c>
      <c r="Z33" s="7">
        <v>0</v>
      </c>
      <c r="AA33" s="7">
        <v>221</v>
      </c>
      <c r="AB33" s="7">
        <v>0</v>
      </c>
      <c r="AC33" s="7">
        <v>256</v>
      </c>
      <c r="AD33" s="7">
        <v>0</v>
      </c>
      <c r="AE33" s="7">
        <v>0</v>
      </c>
      <c r="AF33" s="7">
        <v>198</v>
      </c>
      <c r="AG33" s="7">
        <v>0</v>
      </c>
      <c r="AH33" s="7">
        <v>0</v>
      </c>
      <c r="AI33" s="7"/>
    </row>
    <row r="34" spans="1:35" s="3" customFormat="1" ht="24.95" customHeight="1">
      <c r="A34" s="57"/>
      <c r="B34" s="7" t="s">
        <v>66</v>
      </c>
      <c r="C34" s="7">
        <f>D34+'8月'!C34</f>
        <v>66256</v>
      </c>
      <c r="D34" s="7">
        <f t="shared" si="8"/>
        <v>6343</v>
      </c>
      <c r="E34" s="7">
        <v>133</v>
      </c>
      <c r="F34" s="7">
        <v>170</v>
      </c>
      <c r="G34" s="7">
        <v>180</v>
      </c>
      <c r="H34" s="7">
        <v>117</v>
      </c>
      <c r="I34" s="7">
        <v>215</v>
      </c>
      <c r="J34" s="7">
        <v>183</v>
      </c>
      <c r="K34" s="7">
        <v>125</v>
      </c>
      <c r="L34" s="7">
        <v>196</v>
      </c>
      <c r="M34" s="7">
        <v>121</v>
      </c>
      <c r="N34" s="7">
        <v>127</v>
      </c>
      <c r="O34" s="7">
        <v>318</v>
      </c>
      <c r="P34" s="7">
        <v>223</v>
      </c>
      <c r="Q34" s="7">
        <v>204</v>
      </c>
      <c r="R34" s="7">
        <v>239</v>
      </c>
      <c r="S34" s="7">
        <v>229</v>
      </c>
      <c r="T34" s="7">
        <v>194</v>
      </c>
      <c r="U34" s="7">
        <v>214</v>
      </c>
      <c r="V34" s="7">
        <v>141</v>
      </c>
      <c r="W34" s="7">
        <v>213</v>
      </c>
      <c r="X34" s="7">
        <v>243</v>
      </c>
      <c r="Y34" s="7">
        <v>244</v>
      </c>
      <c r="Z34" s="7">
        <v>173</v>
      </c>
      <c r="AA34" s="7">
        <v>259</v>
      </c>
      <c r="AB34" s="7">
        <v>276</v>
      </c>
      <c r="AC34" s="7">
        <v>257</v>
      </c>
      <c r="AD34" s="7">
        <v>312</v>
      </c>
      <c r="AE34" s="7">
        <v>279</v>
      </c>
      <c r="AF34" s="7">
        <v>250</v>
      </c>
      <c r="AG34" s="7">
        <v>235</v>
      </c>
      <c r="AH34" s="7">
        <v>273</v>
      </c>
      <c r="AI34" s="7"/>
    </row>
    <row r="35" spans="1:35" s="3" customFormat="1" ht="24.95" customHeight="1">
      <c r="A35" s="58" t="s">
        <v>67</v>
      </c>
      <c r="B35" s="7" t="s">
        <v>68</v>
      </c>
      <c r="C35" s="7">
        <f>D35+'8月'!C35</f>
        <v>456.642</v>
      </c>
      <c r="D35" s="7">
        <f t="shared" si="8"/>
        <v>48.242999999999995</v>
      </c>
      <c r="E35" s="31">
        <v>1.742</v>
      </c>
      <c r="F35" s="31">
        <v>1.6719999999999999</v>
      </c>
      <c r="G35" s="31">
        <v>1.7509999999999999</v>
      </c>
      <c r="H35" s="32">
        <v>1.667</v>
      </c>
      <c r="I35" s="32">
        <v>1.6240000000000001</v>
      </c>
      <c r="J35" s="32">
        <v>1.6240000000000001</v>
      </c>
      <c r="K35" s="32">
        <v>1.546</v>
      </c>
      <c r="L35" s="32">
        <v>1.544</v>
      </c>
      <c r="M35" s="32">
        <v>1.613</v>
      </c>
      <c r="N35" s="32">
        <v>1.641</v>
      </c>
      <c r="O35" s="34">
        <v>1.7310000000000001</v>
      </c>
      <c r="P35" s="32">
        <v>1.647</v>
      </c>
      <c r="Q35" s="32">
        <v>1.613</v>
      </c>
      <c r="R35" s="32">
        <v>1.6060000000000001</v>
      </c>
      <c r="S35" s="32">
        <v>1.5660000000000001</v>
      </c>
      <c r="T35" s="32">
        <v>1.639</v>
      </c>
      <c r="U35" s="34">
        <v>1.5660000000000001</v>
      </c>
      <c r="V35" s="32">
        <v>1.659</v>
      </c>
      <c r="W35" s="32">
        <v>1.6830000000000001</v>
      </c>
      <c r="X35" s="32">
        <v>1.6220000000000001</v>
      </c>
      <c r="Y35" s="32">
        <v>1.611</v>
      </c>
      <c r="Z35" s="32">
        <v>1.6319999999999999</v>
      </c>
      <c r="AA35" s="32">
        <v>1.5669999999999999</v>
      </c>
      <c r="AB35" s="32">
        <v>1.53</v>
      </c>
      <c r="AC35" s="32">
        <v>1.4750000000000001</v>
      </c>
      <c r="AD35" s="32">
        <v>1.544</v>
      </c>
      <c r="AE35" s="32">
        <v>1.581</v>
      </c>
      <c r="AF35" s="32">
        <v>1.518</v>
      </c>
      <c r="AG35" s="35">
        <v>1.5369999999999999</v>
      </c>
      <c r="AH35" s="32">
        <v>1.492</v>
      </c>
      <c r="AI35" s="7"/>
    </row>
    <row r="36" spans="1:35" s="3" customFormat="1" ht="24.95" customHeight="1">
      <c r="A36" s="59"/>
      <c r="B36" s="7" t="s">
        <v>69</v>
      </c>
      <c r="C36" s="7">
        <f>D36+'8月'!C36</f>
        <v>1919.8320000000008</v>
      </c>
      <c r="D36" s="7">
        <f t="shared" si="8"/>
        <v>235.05000000000007</v>
      </c>
      <c r="E36" s="33">
        <v>7.835</v>
      </c>
      <c r="F36" s="33">
        <v>7.835</v>
      </c>
      <c r="G36" s="33">
        <v>7.835</v>
      </c>
      <c r="H36" s="33">
        <v>7.835</v>
      </c>
      <c r="I36" s="33">
        <v>7.835</v>
      </c>
      <c r="J36" s="33">
        <v>7.835</v>
      </c>
      <c r="K36" s="33">
        <v>7.835</v>
      </c>
      <c r="L36" s="33">
        <v>7.835</v>
      </c>
      <c r="M36" s="33">
        <v>7.835</v>
      </c>
      <c r="N36" s="33">
        <v>7.835</v>
      </c>
      <c r="O36" s="33">
        <v>7.835</v>
      </c>
      <c r="P36" s="33">
        <v>7.835</v>
      </c>
      <c r="Q36" s="33">
        <v>7.835</v>
      </c>
      <c r="R36" s="33">
        <v>7.835</v>
      </c>
      <c r="S36" s="33">
        <v>7.835</v>
      </c>
      <c r="T36" s="33">
        <v>7.835</v>
      </c>
      <c r="U36" s="33">
        <v>7.835</v>
      </c>
      <c r="V36" s="33">
        <v>7.835</v>
      </c>
      <c r="W36" s="33">
        <v>7.835</v>
      </c>
      <c r="X36" s="33">
        <v>7.835</v>
      </c>
      <c r="Y36" s="33">
        <v>7.835</v>
      </c>
      <c r="Z36" s="33">
        <v>7.835</v>
      </c>
      <c r="AA36" s="33">
        <v>7.835</v>
      </c>
      <c r="AB36" s="33">
        <v>7.835</v>
      </c>
      <c r="AC36" s="33">
        <v>7.835</v>
      </c>
      <c r="AD36" s="33">
        <v>7.835</v>
      </c>
      <c r="AE36" s="33">
        <v>7.835</v>
      </c>
      <c r="AF36" s="33">
        <v>7.835</v>
      </c>
      <c r="AG36" s="33">
        <v>7.835</v>
      </c>
      <c r="AH36" s="33">
        <v>7.835</v>
      </c>
      <c r="AI36" s="7"/>
    </row>
    <row r="37" spans="1:35" s="3" customFormat="1" ht="24.95" customHeight="1">
      <c r="A37" s="60"/>
      <c r="B37" s="7" t="s">
        <v>70</v>
      </c>
      <c r="C37" s="7">
        <f>D37+'8月'!C37</f>
        <v>84.727000000000032</v>
      </c>
      <c r="D37" s="7">
        <f t="shared" si="8"/>
        <v>9.6000000000000032</v>
      </c>
      <c r="E37" s="33">
        <v>0.32</v>
      </c>
      <c r="F37" s="33">
        <v>0.32</v>
      </c>
      <c r="G37" s="33">
        <v>0.32</v>
      </c>
      <c r="H37" s="33">
        <v>0.32</v>
      </c>
      <c r="I37" s="33">
        <v>0.32</v>
      </c>
      <c r="J37" s="33">
        <v>0.32</v>
      </c>
      <c r="K37" s="33">
        <v>0.32</v>
      </c>
      <c r="L37" s="33">
        <v>0.32</v>
      </c>
      <c r="M37" s="33">
        <v>0.32</v>
      </c>
      <c r="N37" s="33">
        <v>0.32</v>
      </c>
      <c r="O37" s="33">
        <v>0.32</v>
      </c>
      <c r="P37" s="33">
        <v>0.32</v>
      </c>
      <c r="Q37" s="33">
        <v>0.32</v>
      </c>
      <c r="R37" s="33">
        <v>0.32</v>
      </c>
      <c r="S37" s="33">
        <v>0.32</v>
      </c>
      <c r="T37" s="33">
        <v>0.32</v>
      </c>
      <c r="U37" s="33">
        <v>0.32</v>
      </c>
      <c r="V37" s="33">
        <v>0.32</v>
      </c>
      <c r="W37" s="33">
        <v>0.32</v>
      </c>
      <c r="X37" s="33">
        <v>0.32</v>
      </c>
      <c r="Y37" s="33">
        <v>0.32</v>
      </c>
      <c r="Z37" s="33">
        <v>0.32</v>
      </c>
      <c r="AA37" s="33">
        <v>0.32</v>
      </c>
      <c r="AB37" s="33">
        <v>0.32</v>
      </c>
      <c r="AC37" s="33">
        <v>0.32</v>
      </c>
      <c r="AD37" s="33">
        <v>0.32</v>
      </c>
      <c r="AE37" s="33">
        <v>0.32</v>
      </c>
      <c r="AF37" s="33">
        <v>0.32</v>
      </c>
      <c r="AG37" s="33">
        <v>0.32</v>
      </c>
      <c r="AH37" s="33">
        <v>0.32</v>
      </c>
      <c r="AI37" s="7"/>
    </row>
    <row r="38" spans="1:35" s="1" customFormat="1" ht="18" customHeight="1">
      <c r="B38" s="22" t="s">
        <v>71</v>
      </c>
      <c r="C38" s="23">
        <f>C31/C5</f>
        <v>0.19029054511533477</v>
      </c>
      <c r="D38" s="23">
        <f>D31/D5</f>
        <v>0.16347435410837388</v>
      </c>
      <c r="G38" s="24"/>
    </row>
    <row r="39" spans="1:35" s="1" customFormat="1" ht="18" customHeight="1">
      <c r="B39" s="22" t="s">
        <v>72</v>
      </c>
      <c r="C39" s="23">
        <f>C32/C5</f>
        <v>2.4791550806485985E-2</v>
      </c>
      <c r="D39" s="23">
        <f>D32/D5</f>
        <v>2.5964534437255625E-2</v>
      </c>
      <c r="G39" s="24"/>
    </row>
    <row r="40" spans="1:35" s="1" customFormat="1" ht="18" customHeight="1">
      <c r="B40" s="22" t="s">
        <v>73</v>
      </c>
      <c r="C40" s="23">
        <f>C33/C5</f>
        <v>8.7191291477944674E-2</v>
      </c>
      <c r="D40" s="23">
        <f>D33/D5</f>
        <v>9.7358177469040477E-2</v>
      </c>
      <c r="G40" s="24"/>
    </row>
    <row r="41" spans="1:35">
      <c r="G41" s="25"/>
    </row>
    <row r="42" spans="1:35">
      <c r="G42" s="25"/>
    </row>
    <row r="43" spans="1:35">
      <c r="G43" s="25"/>
    </row>
    <row r="44" spans="1:35">
      <c r="G44" s="25"/>
    </row>
    <row r="45" spans="1:35">
      <c r="G45" s="25"/>
    </row>
    <row r="46" spans="1:35">
      <c r="G46" s="25"/>
    </row>
    <row r="47" spans="1:35">
      <c r="G47" s="25"/>
    </row>
    <row r="48" spans="1:35">
      <c r="G48" s="25"/>
    </row>
    <row r="49" spans="7:7">
      <c r="G49" s="25"/>
    </row>
    <row r="50" spans="7:7">
      <c r="G50" s="25"/>
    </row>
    <row r="51" spans="7:7">
      <c r="G51" s="25"/>
    </row>
    <row r="52" spans="7:7">
      <c r="G52" s="25"/>
    </row>
    <row r="53" spans="7:7">
      <c r="G53" s="25"/>
    </row>
    <row r="54" spans="7:7">
      <c r="G54" s="25"/>
    </row>
    <row r="55" spans="7:7">
      <c r="G55" s="25"/>
    </row>
    <row r="56" spans="7:7">
      <c r="G56" s="25"/>
    </row>
    <row r="57" spans="7:7">
      <c r="G57" s="25"/>
    </row>
    <row r="58" spans="7:7">
      <c r="G58" s="25"/>
    </row>
    <row r="59" spans="7:7">
      <c r="G59" s="25"/>
    </row>
    <row r="60" spans="7:7">
      <c r="G60" s="25"/>
    </row>
    <row r="61" spans="7:7">
      <c r="G61" s="25"/>
    </row>
    <row r="62" spans="7:7">
      <c r="G62" s="25"/>
    </row>
    <row r="63" spans="7:7">
      <c r="G63" s="25"/>
    </row>
  </sheetData>
  <mergeCells count="10">
    <mergeCell ref="A35:A37"/>
    <mergeCell ref="A13:A15"/>
    <mergeCell ref="A16:A17"/>
    <mergeCell ref="A19:A29"/>
    <mergeCell ref="A31:A34"/>
    <mergeCell ref="A1:B1"/>
    <mergeCell ref="C1:AI1"/>
    <mergeCell ref="A3:A5"/>
    <mergeCell ref="A6:A8"/>
    <mergeCell ref="A9:A12"/>
  </mergeCells>
  <phoneticPr fontId="12" type="noConversion"/>
  <pageMargins left="0.69930555555555596" right="0.69930555555555596" top="0.75" bottom="0.75" header="0.3" footer="0.3"/>
  <pageSetup paperSize="8" scale="57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1月</vt:lpstr>
      <vt:lpstr>2月 </vt:lpstr>
      <vt:lpstr>3月</vt:lpstr>
      <vt:lpstr>4月</vt:lpstr>
      <vt:lpstr>5月</vt:lpstr>
      <vt:lpstr>6月</vt:lpstr>
      <vt:lpstr>7月</vt:lpstr>
      <vt:lpstr>8月</vt:lpstr>
      <vt:lpstr>9月</vt:lpstr>
      <vt:lpstr>10月</vt:lpstr>
      <vt:lpstr>11月</vt:lpstr>
      <vt:lpstr>12月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</dc:creator>
  <cp:lastModifiedBy>黄文武</cp:lastModifiedBy>
  <cp:lastPrinted>2021-03-04T00:25:00Z</cp:lastPrinted>
  <dcterms:created xsi:type="dcterms:W3CDTF">2017-12-04T00:07:00Z</dcterms:created>
  <dcterms:modified xsi:type="dcterms:W3CDTF">2022-06-10T06:44:09Z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2052-11.1.0.11115</vt:lpwstr>
  </property>
  <property fmtid="{D5CDD505-2E9C-101B-9397-08002B2CF9AE}" pid="3" name="ICV">
    <vt:lpwstr>CAA8E9B8AF764A25A411AAE0CBF44DFE</vt:lpwstr>
  </property>
</Properties>
</file>