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 activeTab="11"/>
  </bookViews>
  <sheets>
    <sheet name="1月" sheetId="1" r:id="rId1"/>
    <sheet name="2月" sheetId="2" r:id="rId2"/>
    <sheet name="3月" sheetId="4" r:id="rId3"/>
    <sheet name="4月" sheetId="5" r:id="rId4"/>
    <sheet name="5月" sheetId="6" r:id="rId5"/>
    <sheet name="6月" sheetId="7" r:id="rId6"/>
    <sheet name="7月" sheetId="8" r:id="rId7"/>
    <sheet name="8月" sheetId="9" r:id="rId8"/>
    <sheet name="9月" sheetId="10" r:id="rId9"/>
    <sheet name="10月" sheetId="11" r:id="rId10"/>
    <sheet name="11月" sheetId="12" r:id="rId11"/>
    <sheet name="12月" sheetId="13" r:id="rId12"/>
  </sheets>
  <calcPr calcId="124519"/>
</workbook>
</file>

<file path=xl/calcChain.xml><?xml version="1.0" encoding="utf-8"?>
<calcChain xmlns="http://schemas.openxmlformats.org/spreadsheetml/2006/main">
  <c r="D40" i="13"/>
  <c r="D41"/>
  <c r="D42"/>
  <c r="AI14" l="1"/>
  <c r="AI13"/>
  <c r="AH14" l="1"/>
  <c r="AH13"/>
  <c r="AG14" l="1"/>
  <c r="AG13"/>
  <c r="AF14" l="1"/>
  <c r="AF13"/>
  <c r="AE12" l="1"/>
  <c r="AE14" l="1"/>
  <c r="AE13"/>
  <c r="AD14" l="1"/>
  <c r="AD13"/>
  <c r="AC14"/>
  <c r="AC13"/>
  <c r="AB14"/>
  <c r="AB13"/>
  <c r="AA14" l="1"/>
  <c r="AA13"/>
  <c r="Z14" l="1"/>
  <c r="Z13"/>
  <c r="Y14" l="1"/>
  <c r="Y13"/>
  <c r="X14" l="1"/>
  <c r="X13"/>
  <c r="W14" l="1"/>
  <c r="W13"/>
  <c r="V14"/>
  <c r="V13"/>
  <c r="U14"/>
  <c r="U13"/>
  <c r="T14"/>
  <c r="T13"/>
  <c r="S14" l="1"/>
  <c r="S13"/>
  <c r="D39" l="1"/>
  <c r="D38"/>
  <c r="D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3"/>
  <c r="D32"/>
  <c r="D31"/>
  <c r="D30"/>
  <c r="D29"/>
  <c r="D28"/>
  <c r="D27"/>
  <c r="D26"/>
  <c r="D25"/>
  <c r="D24"/>
  <c r="D23"/>
  <c r="D22"/>
  <c r="D21"/>
  <c r="D20"/>
  <c r="D19"/>
  <c r="AC18"/>
  <c r="M18"/>
  <c r="E18"/>
  <c r="D17"/>
  <c r="D16"/>
  <c r="AI15"/>
  <c r="AH15"/>
  <c r="AG15"/>
  <c r="AF15"/>
  <c r="AE15"/>
  <c r="AD15"/>
  <c r="AC15"/>
  <c r="AB15"/>
  <c r="AA15"/>
  <c r="Z15"/>
  <c r="Y15"/>
  <c r="X15"/>
  <c r="W15"/>
  <c r="V15"/>
  <c r="U15"/>
  <c r="T15"/>
  <c r="S15"/>
  <c r="R14"/>
  <c r="R15" s="1"/>
  <c r="Q14"/>
  <c r="P14"/>
  <c r="O14"/>
  <c r="N14"/>
  <c r="N15" s="1"/>
  <c r="M14"/>
  <c r="L14"/>
  <c r="K14"/>
  <c r="J14"/>
  <c r="I14"/>
  <c r="H14"/>
  <c r="G14"/>
  <c r="F14"/>
  <c r="E14"/>
  <c r="R13"/>
  <c r="Q13"/>
  <c r="Q15" s="1"/>
  <c r="P13"/>
  <c r="P15" s="1"/>
  <c r="O13"/>
  <c r="N13"/>
  <c r="M13"/>
  <c r="M15" s="1"/>
  <c r="L13"/>
  <c r="K13"/>
  <c r="J13"/>
  <c r="I13"/>
  <c r="I15" s="1"/>
  <c r="H13"/>
  <c r="H15" s="1"/>
  <c r="G13"/>
  <c r="F13"/>
  <c r="E13"/>
  <c r="E15" s="1"/>
  <c r="E12"/>
  <c r="D12" s="1"/>
  <c r="D9"/>
  <c r="AI8"/>
  <c r="AI18" s="1"/>
  <c r="AH8"/>
  <c r="AG8"/>
  <c r="AG18" s="1"/>
  <c r="AF8"/>
  <c r="AE8"/>
  <c r="AE18" s="1"/>
  <c r="AD8"/>
  <c r="AC8"/>
  <c r="AB8"/>
  <c r="AA8"/>
  <c r="AA18" s="1"/>
  <c r="Z8"/>
  <c r="Y8"/>
  <c r="Y18" s="1"/>
  <c r="X8"/>
  <c r="W8"/>
  <c r="W18" s="1"/>
  <c r="V8"/>
  <c r="U8"/>
  <c r="U18" s="1"/>
  <c r="T8"/>
  <c r="S8"/>
  <c r="S18" s="1"/>
  <c r="R8"/>
  <c r="R11" s="1"/>
  <c r="Q8"/>
  <c r="Q18" s="1"/>
  <c r="P8"/>
  <c r="O8"/>
  <c r="O10" s="1"/>
  <c r="N8"/>
  <c r="M8"/>
  <c r="L8"/>
  <c r="K8"/>
  <c r="K18" s="1"/>
  <c r="J8"/>
  <c r="I8"/>
  <c r="I18" s="1"/>
  <c r="H8"/>
  <c r="G8"/>
  <c r="G10" s="1"/>
  <c r="F8"/>
  <c r="F11" s="1"/>
  <c r="E8"/>
  <c r="D7"/>
  <c r="D6"/>
  <c r="AI5"/>
  <c r="AH5"/>
  <c r="AG5"/>
  <c r="AF5"/>
  <c r="AE5"/>
  <c r="AD5"/>
  <c r="AC5"/>
  <c r="AC10" s="1"/>
  <c r="AB5"/>
  <c r="AA5"/>
  <c r="Z5"/>
  <c r="Y5"/>
  <c r="X5"/>
  <c r="W5"/>
  <c r="V5"/>
  <c r="U5"/>
  <c r="U10" s="1"/>
  <c r="T5"/>
  <c r="S5"/>
  <c r="R5"/>
  <c r="Q5"/>
  <c r="Q10" s="1"/>
  <c r="P5"/>
  <c r="O5"/>
  <c r="N5"/>
  <c r="M5"/>
  <c r="M10" s="1"/>
  <c r="L5"/>
  <c r="K5"/>
  <c r="J5"/>
  <c r="I5"/>
  <c r="I10" s="1"/>
  <c r="H5"/>
  <c r="G5"/>
  <c r="F5"/>
  <c r="E5"/>
  <c r="D4"/>
  <c r="D3"/>
  <c r="D42" i="12"/>
  <c r="D41"/>
  <c r="D40"/>
  <c r="D39"/>
  <c r="D38"/>
  <c r="D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3"/>
  <c r="D32"/>
  <c r="D31"/>
  <c r="D30"/>
  <c r="D29"/>
  <c r="D28"/>
  <c r="D27"/>
  <c r="D26"/>
  <c r="D25"/>
  <c r="D24"/>
  <c r="D23"/>
  <c r="D22"/>
  <c r="D21"/>
  <c r="D20"/>
  <c r="D19"/>
  <c r="AI18"/>
  <c r="D17"/>
  <c r="D16"/>
  <c r="AI15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AH13"/>
  <c r="AG13"/>
  <c r="AF13"/>
  <c r="AE13"/>
  <c r="AD13"/>
  <c r="AC13"/>
  <c r="AB13"/>
  <c r="AA13"/>
  <c r="Z13"/>
  <c r="Z15" s="1"/>
  <c r="Y13"/>
  <c r="X13"/>
  <c r="W13"/>
  <c r="V13"/>
  <c r="U13"/>
  <c r="T13"/>
  <c r="S13"/>
  <c r="R13"/>
  <c r="R15" s="1"/>
  <c r="Q13"/>
  <c r="P13"/>
  <c r="O13"/>
  <c r="N13"/>
  <c r="M13"/>
  <c r="L13"/>
  <c r="K13"/>
  <c r="J13"/>
  <c r="I13"/>
  <c r="H13"/>
  <c r="G13"/>
  <c r="F13"/>
  <c r="E13"/>
  <c r="AH12"/>
  <c r="D12" s="1"/>
  <c r="D9"/>
  <c r="AI8"/>
  <c r="AI11" s="1"/>
  <c r="AH8"/>
  <c r="AH11" s="1"/>
  <c r="AG8"/>
  <c r="AF8"/>
  <c r="AE8"/>
  <c r="AE11" s="1"/>
  <c r="AD8"/>
  <c r="AD18" s="1"/>
  <c r="AC8"/>
  <c r="AB8"/>
  <c r="AA8"/>
  <c r="AA18" s="1"/>
  <c r="Z8"/>
  <c r="Z18" s="1"/>
  <c r="Y8"/>
  <c r="X8"/>
  <c r="X18" s="1"/>
  <c r="W8"/>
  <c r="W18" s="1"/>
  <c r="V8"/>
  <c r="V18" s="1"/>
  <c r="U8"/>
  <c r="T8"/>
  <c r="T18" s="1"/>
  <c r="S8"/>
  <c r="S18" s="1"/>
  <c r="R8"/>
  <c r="R18" s="1"/>
  <c r="Q8"/>
  <c r="P8"/>
  <c r="P18" s="1"/>
  <c r="O8"/>
  <c r="N8"/>
  <c r="N18" s="1"/>
  <c r="M8"/>
  <c r="L8"/>
  <c r="L18" s="1"/>
  <c r="K8"/>
  <c r="K18" s="1"/>
  <c r="J8"/>
  <c r="J18" s="1"/>
  <c r="I8"/>
  <c r="H8"/>
  <c r="H18" s="1"/>
  <c r="G8"/>
  <c r="G18" s="1"/>
  <c r="F8"/>
  <c r="F18" s="1"/>
  <c r="E8"/>
  <c r="D7"/>
  <c r="D6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4"/>
  <c r="D3"/>
  <c r="D42" i="11"/>
  <c r="D41"/>
  <c r="D40"/>
  <c r="D39"/>
  <c r="D38"/>
  <c r="D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3"/>
  <c r="D32"/>
  <c r="D31"/>
  <c r="D30"/>
  <c r="D29"/>
  <c r="D28"/>
  <c r="D27"/>
  <c r="D26"/>
  <c r="D25"/>
  <c r="D24"/>
  <c r="D23"/>
  <c r="D22"/>
  <c r="D21"/>
  <c r="D20"/>
  <c r="D19"/>
  <c r="D17"/>
  <c r="D16"/>
  <c r="AI14"/>
  <c r="AH14"/>
  <c r="AG14"/>
  <c r="AF14"/>
  <c r="AE14"/>
  <c r="S14"/>
  <c r="R14"/>
  <c r="Q14"/>
  <c r="Q15" s="1"/>
  <c r="P14"/>
  <c r="O14"/>
  <c r="N14"/>
  <c r="M14"/>
  <c r="M15" s="1"/>
  <c r="L14"/>
  <c r="K14"/>
  <c r="K15" s="1"/>
  <c r="J14"/>
  <c r="I14"/>
  <c r="I15" s="1"/>
  <c r="H14"/>
  <c r="G14"/>
  <c r="F14"/>
  <c r="E14"/>
  <c r="AI13"/>
  <c r="AI15" s="1"/>
  <c r="AH13"/>
  <c r="AH15" s="1"/>
  <c r="AG13"/>
  <c r="AF13"/>
  <c r="AE13"/>
  <c r="AE15" s="1"/>
  <c r="AD13"/>
  <c r="AD15" s="1"/>
  <c r="AC13"/>
  <c r="AC15" s="1"/>
  <c r="AB13"/>
  <c r="AB15" s="1"/>
  <c r="AA13"/>
  <c r="AA15" s="1"/>
  <c r="Z13"/>
  <c r="Z15" s="1"/>
  <c r="Y13"/>
  <c r="Y15" s="1"/>
  <c r="X13"/>
  <c r="X15" s="1"/>
  <c r="W13"/>
  <c r="W15" s="1"/>
  <c r="V13"/>
  <c r="V15" s="1"/>
  <c r="U13"/>
  <c r="U15" s="1"/>
  <c r="T13"/>
  <c r="T15" s="1"/>
  <c r="S13"/>
  <c r="R13"/>
  <c r="R15" s="1"/>
  <c r="Q13"/>
  <c r="P13"/>
  <c r="P15" s="1"/>
  <c r="O13"/>
  <c r="N13"/>
  <c r="N15" s="1"/>
  <c r="M13"/>
  <c r="L13"/>
  <c r="L15" s="1"/>
  <c r="K13"/>
  <c r="J13"/>
  <c r="J15" s="1"/>
  <c r="I13"/>
  <c r="H13"/>
  <c r="H15" s="1"/>
  <c r="G13"/>
  <c r="F13"/>
  <c r="F15" s="1"/>
  <c r="E13"/>
  <c r="D13"/>
  <c r="D12"/>
  <c r="D9"/>
  <c r="AI8"/>
  <c r="AH8"/>
  <c r="AH10" s="1"/>
  <c r="AG8"/>
  <c r="AF8"/>
  <c r="AF10" s="1"/>
  <c r="AE8"/>
  <c r="AD8"/>
  <c r="AD18" s="1"/>
  <c r="AC8"/>
  <c r="AB8"/>
  <c r="AB18" s="1"/>
  <c r="AA8"/>
  <c r="Z8"/>
  <c r="Z18" s="1"/>
  <c r="Y8"/>
  <c r="X8"/>
  <c r="X18" s="1"/>
  <c r="W8"/>
  <c r="V8"/>
  <c r="V18" s="1"/>
  <c r="U8"/>
  <c r="T8"/>
  <c r="T18" s="1"/>
  <c r="S8"/>
  <c r="R8"/>
  <c r="R18" s="1"/>
  <c r="Q8"/>
  <c r="P8"/>
  <c r="P18" s="1"/>
  <c r="O8"/>
  <c r="N8"/>
  <c r="N18" s="1"/>
  <c r="M8"/>
  <c r="L8"/>
  <c r="K8"/>
  <c r="J8"/>
  <c r="J18" s="1"/>
  <c r="I8"/>
  <c r="H8"/>
  <c r="H18" s="1"/>
  <c r="G8"/>
  <c r="F8"/>
  <c r="F18" s="1"/>
  <c r="E8"/>
  <c r="D7"/>
  <c r="D6"/>
  <c r="AI5"/>
  <c r="AH5"/>
  <c r="AG5"/>
  <c r="AF5"/>
  <c r="AE5"/>
  <c r="AD5"/>
  <c r="AC5"/>
  <c r="AB5"/>
  <c r="AA5"/>
  <c r="AA11" s="1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 s="1"/>
  <c r="D4"/>
  <c r="D3"/>
  <c r="D42" i="10"/>
  <c r="D41"/>
  <c r="D40"/>
  <c r="D39"/>
  <c r="D38"/>
  <c r="D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3"/>
  <c r="D32"/>
  <c r="D31"/>
  <c r="D30"/>
  <c r="D29"/>
  <c r="D28"/>
  <c r="D27"/>
  <c r="D26"/>
  <c r="D25"/>
  <c r="D24"/>
  <c r="D23"/>
  <c r="D22"/>
  <c r="D21"/>
  <c r="D20"/>
  <c r="D19"/>
  <c r="AD18"/>
  <c r="N18"/>
  <c r="D17"/>
  <c r="D16"/>
  <c r="AI15"/>
  <c r="AH14"/>
  <c r="AG14"/>
  <c r="AF14"/>
  <c r="AE14"/>
  <c r="AD14"/>
  <c r="AC14"/>
  <c r="AC15" s="1"/>
  <c r="AB14"/>
  <c r="AA14"/>
  <c r="Z14"/>
  <c r="Y14"/>
  <c r="X14"/>
  <c r="W14"/>
  <c r="V14"/>
  <c r="U14"/>
  <c r="U15" s="1"/>
  <c r="T14"/>
  <c r="S14"/>
  <c r="R14"/>
  <c r="Q14"/>
  <c r="P14"/>
  <c r="O14"/>
  <c r="N14"/>
  <c r="M14"/>
  <c r="M15" s="1"/>
  <c r="L14"/>
  <c r="K14"/>
  <c r="K15" s="1"/>
  <c r="J14"/>
  <c r="J15" s="1"/>
  <c r="I14"/>
  <c r="I15" s="1"/>
  <c r="H14"/>
  <c r="H15" s="1"/>
  <c r="G14"/>
  <c r="G15" s="1"/>
  <c r="F14"/>
  <c r="F15" s="1"/>
  <c r="E14"/>
  <c r="AH13"/>
  <c r="AG13"/>
  <c r="AF13"/>
  <c r="AF15" s="1"/>
  <c r="AE13"/>
  <c r="AE15" s="1"/>
  <c r="AD13"/>
  <c r="AC13"/>
  <c r="AB13"/>
  <c r="AB15" s="1"/>
  <c r="AA13"/>
  <c r="AA15" s="1"/>
  <c r="Z13"/>
  <c r="Y13"/>
  <c r="X13"/>
  <c r="X15" s="1"/>
  <c r="W13"/>
  <c r="W15" s="1"/>
  <c r="V13"/>
  <c r="U13"/>
  <c r="T13"/>
  <c r="T15" s="1"/>
  <c r="S13"/>
  <c r="S15" s="1"/>
  <c r="R13"/>
  <c r="Q13"/>
  <c r="P13"/>
  <c r="P15" s="1"/>
  <c r="O13"/>
  <c r="O15" s="1"/>
  <c r="N13"/>
  <c r="M13"/>
  <c r="L13"/>
  <c r="L15" s="1"/>
  <c r="D12"/>
  <c r="D9"/>
  <c r="AI8"/>
  <c r="AI11" s="1"/>
  <c r="AH8"/>
  <c r="AH18" s="1"/>
  <c r="AG8"/>
  <c r="AF8"/>
  <c r="AF18" s="1"/>
  <c r="AE8"/>
  <c r="AE11" s="1"/>
  <c r="AD8"/>
  <c r="AC8"/>
  <c r="AB8"/>
  <c r="AB18" s="1"/>
  <c r="AA8"/>
  <c r="AA11" s="1"/>
  <c r="Z8"/>
  <c r="Z18" s="1"/>
  <c r="Y8"/>
  <c r="X8"/>
  <c r="X18" s="1"/>
  <c r="W8"/>
  <c r="W11" s="1"/>
  <c r="V8"/>
  <c r="V18" s="1"/>
  <c r="U8"/>
  <c r="T8"/>
  <c r="T18" s="1"/>
  <c r="S8"/>
  <c r="S11" s="1"/>
  <c r="R8"/>
  <c r="R18" s="1"/>
  <c r="Q8"/>
  <c r="Q11" s="1"/>
  <c r="P8"/>
  <c r="P18" s="1"/>
  <c r="O8"/>
  <c r="O11" s="1"/>
  <c r="N8"/>
  <c r="M8"/>
  <c r="L8"/>
  <c r="L18" s="1"/>
  <c r="K8"/>
  <c r="K11" s="1"/>
  <c r="J8"/>
  <c r="I8"/>
  <c r="H8"/>
  <c r="H18" s="1"/>
  <c r="G8"/>
  <c r="G11" s="1"/>
  <c r="F8"/>
  <c r="F18" s="1"/>
  <c r="E8"/>
  <c r="D7"/>
  <c r="D6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I11" s="1"/>
  <c r="H5"/>
  <c r="G5"/>
  <c r="F5"/>
  <c r="E5"/>
  <c r="D5" s="1"/>
  <c r="D45" s="1"/>
  <c r="D4"/>
  <c r="D3"/>
  <c r="D42" i="9"/>
  <c r="D41"/>
  <c r="D40"/>
  <c r="D39"/>
  <c r="D38"/>
  <c r="D37"/>
  <c r="AI36"/>
  <c r="AH36"/>
  <c r="AG36"/>
  <c r="AF36"/>
  <c r="AE36"/>
  <c r="AD36"/>
  <c r="X36"/>
  <c r="R36"/>
  <c r="O36"/>
  <c r="N36"/>
  <c r="E36"/>
  <c r="D33"/>
  <c r="D32"/>
  <c r="D31"/>
  <c r="D30"/>
  <c r="AC29"/>
  <c r="AC36" s="1"/>
  <c r="AB29"/>
  <c r="AB36" s="1"/>
  <c r="AA29"/>
  <c r="AA36" s="1"/>
  <c r="Z29"/>
  <c r="Z36" s="1"/>
  <c r="Y29"/>
  <c r="Y36" s="1"/>
  <c r="W29"/>
  <c r="W36" s="1"/>
  <c r="V29"/>
  <c r="V36" s="1"/>
  <c r="U29"/>
  <c r="U36" s="1"/>
  <c r="T29"/>
  <c r="T36" s="1"/>
  <c r="S29"/>
  <c r="S36" s="1"/>
  <c r="Q29"/>
  <c r="Q36" s="1"/>
  <c r="P29"/>
  <c r="P36" s="1"/>
  <c r="M29"/>
  <c r="M36" s="1"/>
  <c r="L29"/>
  <c r="L36" s="1"/>
  <c r="K29"/>
  <c r="K36" s="1"/>
  <c r="J29"/>
  <c r="J36" s="1"/>
  <c r="I29"/>
  <c r="I36" s="1"/>
  <c r="H29"/>
  <c r="H36" s="1"/>
  <c r="G29"/>
  <c r="G36" s="1"/>
  <c r="F29"/>
  <c r="D28"/>
  <c r="D27"/>
  <c r="D26"/>
  <c r="D25"/>
  <c r="D24"/>
  <c r="D23"/>
  <c r="D22"/>
  <c r="D21"/>
  <c r="D20"/>
  <c r="D19"/>
  <c r="N18"/>
  <c r="F18"/>
  <c r="D17"/>
  <c r="D16"/>
  <c r="AI14"/>
  <c r="AI15" s="1"/>
  <c r="AH14"/>
  <c r="AH15" s="1"/>
  <c r="AG14"/>
  <c r="AG15" s="1"/>
  <c r="AF14"/>
  <c r="AF15" s="1"/>
  <c r="AE14"/>
  <c r="AD14"/>
  <c r="AC14"/>
  <c r="AB14"/>
  <c r="AA14"/>
  <c r="Z14"/>
  <c r="Y14"/>
  <c r="X14"/>
  <c r="W14"/>
  <c r="V14"/>
  <c r="U14"/>
  <c r="T14"/>
  <c r="S14"/>
  <c r="R14"/>
  <c r="Q14"/>
  <c r="Q15" s="1"/>
  <c r="P14"/>
  <c r="O14"/>
  <c r="N14"/>
  <c r="M14"/>
  <c r="L14"/>
  <c r="K14"/>
  <c r="J14"/>
  <c r="I14"/>
  <c r="H14"/>
  <c r="G14"/>
  <c r="F14"/>
  <c r="E14"/>
  <c r="AE13"/>
  <c r="AE15" s="1"/>
  <c r="AD13"/>
  <c r="AD15" s="1"/>
  <c r="AC13"/>
  <c r="AB13"/>
  <c r="AB15" s="1"/>
  <c r="AA13"/>
  <c r="AA15" s="1"/>
  <c r="Z13"/>
  <c r="Z15" s="1"/>
  <c r="Y13"/>
  <c r="X13"/>
  <c r="X15" s="1"/>
  <c r="W13"/>
  <c r="W15" s="1"/>
  <c r="V13"/>
  <c r="V15" s="1"/>
  <c r="U13"/>
  <c r="T13"/>
  <c r="T15" s="1"/>
  <c r="S13"/>
  <c r="S15" s="1"/>
  <c r="R13"/>
  <c r="R15" s="1"/>
  <c r="Q13"/>
  <c r="P13"/>
  <c r="P15" s="1"/>
  <c r="O13"/>
  <c r="O15" s="1"/>
  <c r="N13"/>
  <c r="N15" s="1"/>
  <c r="M13"/>
  <c r="L13"/>
  <c r="L15" s="1"/>
  <c r="K13"/>
  <c r="K15" s="1"/>
  <c r="J13"/>
  <c r="J15" s="1"/>
  <c r="I13"/>
  <c r="H13"/>
  <c r="H15" s="1"/>
  <c r="G13"/>
  <c r="G15" s="1"/>
  <c r="F13"/>
  <c r="F15" s="1"/>
  <c r="E13"/>
  <c r="Q12"/>
  <c r="D12" s="1"/>
  <c r="D9"/>
  <c r="AI8"/>
  <c r="AI11" s="1"/>
  <c r="AH8"/>
  <c r="AH18" s="1"/>
  <c r="AG8"/>
  <c r="AF8"/>
  <c r="AF18" s="1"/>
  <c r="AE8"/>
  <c r="AE11" s="1"/>
  <c r="AD8"/>
  <c r="AD18" s="1"/>
  <c r="AC8"/>
  <c r="AB8"/>
  <c r="AB18" s="1"/>
  <c r="AA8"/>
  <c r="AA11" s="1"/>
  <c r="Z8"/>
  <c r="Z18" s="1"/>
  <c r="Y8"/>
  <c r="X8"/>
  <c r="X18" s="1"/>
  <c r="W8"/>
  <c r="W11" s="1"/>
  <c r="V8"/>
  <c r="V18" s="1"/>
  <c r="U8"/>
  <c r="T8"/>
  <c r="T18" s="1"/>
  <c r="S8"/>
  <c r="S11" s="1"/>
  <c r="R8"/>
  <c r="R18" s="1"/>
  <c r="Q8"/>
  <c r="P8"/>
  <c r="P18" s="1"/>
  <c r="O8"/>
  <c r="O11" s="1"/>
  <c r="N8"/>
  <c r="M8"/>
  <c r="L8"/>
  <c r="L18" s="1"/>
  <c r="K8"/>
  <c r="K11" s="1"/>
  <c r="J8"/>
  <c r="J18" s="1"/>
  <c r="I8"/>
  <c r="H8"/>
  <c r="H18" s="1"/>
  <c r="G8"/>
  <c r="G11" s="1"/>
  <c r="F8"/>
  <c r="E8"/>
  <c r="D7"/>
  <c r="D6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 s="1"/>
  <c r="D4"/>
  <c r="D3"/>
  <c r="D42" i="8"/>
  <c r="D41"/>
  <c r="D40"/>
  <c r="D39"/>
  <c r="D38"/>
  <c r="D37"/>
  <c r="AI36"/>
  <c r="AH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3"/>
  <c r="D32"/>
  <c r="D31"/>
  <c r="D30"/>
  <c r="AG29"/>
  <c r="D29" s="1"/>
  <c r="D28"/>
  <c r="D27"/>
  <c r="D26"/>
  <c r="D25"/>
  <c r="D24"/>
  <c r="D23"/>
  <c r="D22"/>
  <c r="D21"/>
  <c r="D20"/>
  <c r="D19"/>
  <c r="C19" s="1"/>
  <c r="C19" i="9" s="1"/>
  <c r="O18" i="8"/>
  <c r="D17"/>
  <c r="D16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AI13"/>
  <c r="AI15" s="1"/>
  <c r="AH13"/>
  <c r="AG13"/>
  <c r="AF13"/>
  <c r="AE13"/>
  <c r="AE15" s="1"/>
  <c r="AD13"/>
  <c r="AC13"/>
  <c r="AB13"/>
  <c r="AA13"/>
  <c r="AA15" s="1"/>
  <c r="Z13"/>
  <c r="Y13"/>
  <c r="X13"/>
  <c r="W13"/>
  <c r="W15" s="1"/>
  <c r="V13"/>
  <c r="U13"/>
  <c r="T13"/>
  <c r="S13"/>
  <c r="S15" s="1"/>
  <c r="R13"/>
  <c r="Q13"/>
  <c r="P13"/>
  <c r="O13"/>
  <c r="O15" s="1"/>
  <c r="N13"/>
  <c r="M13"/>
  <c r="L13"/>
  <c r="K13"/>
  <c r="K15" s="1"/>
  <c r="J13"/>
  <c r="I13"/>
  <c r="H13"/>
  <c r="G13"/>
  <c r="G15" s="1"/>
  <c r="F13"/>
  <c r="E13"/>
  <c r="D12"/>
  <c r="D9"/>
  <c r="AI8"/>
  <c r="AH8"/>
  <c r="AH18" s="1"/>
  <c r="AG8"/>
  <c r="AF8"/>
  <c r="AF18" s="1"/>
  <c r="AE8"/>
  <c r="AE18" s="1"/>
  <c r="AD8"/>
  <c r="AD18" s="1"/>
  <c r="AC8"/>
  <c r="AB8"/>
  <c r="AA8"/>
  <c r="Z8"/>
  <c r="Y8"/>
  <c r="X8"/>
  <c r="X11" s="1"/>
  <c r="W8"/>
  <c r="V8"/>
  <c r="V18" s="1"/>
  <c r="U8"/>
  <c r="T8"/>
  <c r="T10" s="1"/>
  <c r="S8"/>
  <c r="R8"/>
  <c r="R18" s="1"/>
  <c r="Q8"/>
  <c r="P8"/>
  <c r="P18" s="1"/>
  <c r="O8"/>
  <c r="N8"/>
  <c r="N18" s="1"/>
  <c r="M8"/>
  <c r="L8"/>
  <c r="K8"/>
  <c r="J8"/>
  <c r="J18" s="1"/>
  <c r="I8"/>
  <c r="I18" s="1"/>
  <c r="H8"/>
  <c r="H11" s="1"/>
  <c r="G8"/>
  <c r="F8"/>
  <c r="F18" s="1"/>
  <c r="E8"/>
  <c r="D7"/>
  <c r="D6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4"/>
  <c r="D3"/>
  <c r="D42" i="7"/>
  <c r="D41"/>
  <c r="D40"/>
  <c r="D39"/>
  <c r="D38"/>
  <c r="D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3"/>
  <c r="D32"/>
  <c r="D31"/>
  <c r="D30"/>
  <c r="D29"/>
  <c r="D28"/>
  <c r="D27"/>
  <c r="D26"/>
  <c r="D25"/>
  <c r="D24"/>
  <c r="D23"/>
  <c r="D22"/>
  <c r="D21"/>
  <c r="D20"/>
  <c r="D19"/>
  <c r="D17"/>
  <c r="D16"/>
  <c r="AI15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AH13"/>
  <c r="AG13"/>
  <c r="AF13"/>
  <c r="AF15" s="1"/>
  <c r="AE13"/>
  <c r="AE15" s="1"/>
  <c r="AD13"/>
  <c r="AC13"/>
  <c r="AB13"/>
  <c r="AB15" s="1"/>
  <c r="AA13"/>
  <c r="AA15" s="1"/>
  <c r="Z13"/>
  <c r="Y13"/>
  <c r="X13"/>
  <c r="X15" s="1"/>
  <c r="W13"/>
  <c r="W15" s="1"/>
  <c r="V13"/>
  <c r="U13"/>
  <c r="T13"/>
  <c r="T15" s="1"/>
  <c r="S13"/>
  <c r="S15" s="1"/>
  <c r="R13"/>
  <c r="Q13"/>
  <c r="P13"/>
  <c r="P15" s="1"/>
  <c r="O13"/>
  <c r="O15" s="1"/>
  <c r="N13"/>
  <c r="M13"/>
  <c r="L13"/>
  <c r="L15" s="1"/>
  <c r="K13"/>
  <c r="K15" s="1"/>
  <c r="J13"/>
  <c r="I13"/>
  <c r="H13"/>
  <c r="H15" s="1"/>
  <c r="G13"/>
  <c r="G15" s="1"/>
  <c r="F13"/>
  <c r="E13"/>
  <c r="D12"/>
  <c r="D9"/>
  <c r="AI8"/>
  <c r="AH8"/>
  <c r="AG8"/>
  <c r="AG10" s="1"/>
  <c r="AF8"/>
  <c r="AF18" s="1"/>
  <c r="AE8"/>
  <c r="AD8"/>
  <c r="AC8"/>
  <c r="AC11" s="1"/>
  <c r="AB8"/>
  <c r="AB18" s="1"/>
  <c r="AA8"/>
  <c r="Z8"/>
  <c r="Y8"/>
  <c r="Y18" s="1"/>
  <c r="X8"/>
  <c r="X18" s="1"/>
  <c r="W8"/>
  <c r="V8"/>
  <c r="U8"/>
  <c r="U10" s="1"/>
  <c r="T8"/>
  <c r="T18" s="1"/>
  <c r="S8"/>
  <c r="R8"/>
  <c r="Q8"/>
  <c r="Q10" s="1"/>
  <c r="P8"/>
  <c r="P18" s="1"/>
  <c r="O8"/>
  <c r="N8"/>
  <c r="M8"/>
  <c r="M11" s="1"/>
  <c r="L8"/>
  <c r="L18" s="1"/>
  <c r="K8"/>
  <c r="J8"/>
  <c r="I8"/>
  <c r="I18" s="1"/>
  <c r="H8"/>
  <c r="H18" s="1"/>
  <c r="G8"/>
  <c r="F8"/>
  <c r="E8"/>
  <c r="E18" s="1"/>
  <c r="D7"/>
  <c r="D6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4"/>
  <c r="D3"/>
  <c r="D42" i="6"/>
  <c r="D41"/>
  <c r="D40"/>
  <c r="D39"/>
  <c r="D38"/>
  <c r="D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3"/>
  <c r="D32"/>
  <c r="D31"/>
  <c r="D30"/>
  <c r="D29"/>
  <c r="D28"/>
  <c r="D27"/>
  <c r="D26"/>
  <c r="D25"/>
  <c r="D24"/>
  <c r="D23"/>
  <c r="D22"/>
  <c r="D21"/>
  <c r="D20"/>
  <c r="D19"/>
  <c r="F18"/>
  <c r="D17"/>
  <c r="D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AI14"/>
  <c r="AH14"/>
  <c r="AG14"/>
  <c r="AF14"/>
  <c r="AI13"/>
  <c r="AI15" s="1"/>
  <c r="AH13"/>
  <c r="AH15" s="1"/>
  <c r="AG13"/>
  <c r="AG15" s="1"/>
  <c r="AF13"/>
  <c r="D12"/>
  <c r="AI11"/>
  <c r="K11"/>
  <c r="D9"/>
  <c r="AI8"/>
  <c r="AI18" s="1"/>
  <c r="AH8"/>
  <c r="AH18" s="1"/>
  <c r="AG8"/>
  <c r="AF8"/>
  <c r="AF18" s="1"/>
  <c r="AE8"/>
  <c r="AE18" s="1"/>
  <c r="AD8"/>
  <c r="AD18" s="1"/>
  <c r="AC8"/>
  <c r="AB8"/>
  <c r="AB18" s="1"/>
  <c r="AA8"/>
  <c r="AA10" s="1"/>
  <c r="Z8"/>
  <c r="Z18" s="1"/>
  <c r="Y8"/>
  <c r="X8"/>
  <c r="X18" s="1"/>
  <c r="W8"/>
  <c r="W18" s="1"/>
  <c r="V8"/>
  <c r="V18" s="1"/>
  <c r="U8"/>
  <c r="T8"/>
  <c r="T18" s="1"/>
  <c r="S8"/>
  <c r="S10" s="1"/>
  <c r="R8"/>
  <c r="R18" s="1"/>
  <c r="Q8"/>
  <c r="P8"/>
  <c r="P18" s="1"/>
  <c r="O8"/>
  <c r="O18" s="1"/>
  <c r="N8"/>
  <c r="N18" s="1"/>
  <c r="M8"/>
  <c r="L8"/>
  <c r="L18" s="1"/>
  <c r="K8"/>
  <c r="K10" s="1"/>
  <c r="J8"/>
  <c r="J18" s="1"/>
  <c r="I8"/>
  <c r="H8"/>
  <c r="H18" s="1"/>
  <c r="G8"/>
  <c r="G18" s="1"/>
  <c r="F8"/>
  <c r="E8"/>
  <c r="D7"/>
  <c r="D6"/>
  <c r="AI5"/>
  <c r="AH5"/>
  <c r="AH11" s="1"/>
  <c r="AG5"/>
  <c r="AG11" s="1"/>
  <c r="AF5"/>
  <c r="AF11" s="1"/>
  <c r="AE5"/>
  <c r="AE11" s="1"/>
  <c r="AD5"/>
  <c r="AD11" s="1"/>
  <c r="AC5"/>
  <c r="AC11" s="1"/>
  <c r="AB5"/>
  <c r="AB11" s="1"/>
  <c r="AA5"/>
  <c r="AA11" s="1"/>
  <c r="Z5"/>
  <c r="Z11" s="1"/>
  <c r="Y5"/>
  <c r="Y11" s="1"/>
  <c r="X5"/>
  <c r="X11" s="1"/>
  <c r="W5"/>
  <c r="W11" s="1"/>
  <c r="V5"/>
  <c r="V11" s="1"/>
  <c r="U5"/>
  <c r="U11" s="1"/>
  <c r="T5"/>
  <c r="T11" s="1"/>
  <c r="S5"/>
  <c r="S11" s="1"/>
  <c r="R5"/>
  <c r="R11" s="1"/>
  <c r="Q5"/>
  <c r="Q11" s="1"/>
  <c r="P5"/>
  <c r="P11" s="1"/>
  <c r="O5"/>
  <c r="O11" s="1"/>
  <c r="N5"/>
  <c r="N11" s="1"/>
  <c r="M5"/>
  <c r="M11" s="1"/>
  <c r="L5"/>
  <c r="L11" s="1"/>
  <c r="K5"/>
  <c r="J5"/>
  <c r="J11" s="1"/>
  <c r="I5"/>
  <c r="I11" s="1"/>
  <c r="H5"/>
  <c r="H11" s="1"/>
  <c r="G5"/>
  <c r="G11" s="1"/>
  <c r="F5"/>
  <c r="F11" s="1"/>
  <c r="E5"/>
  <c r="D4"/>
  <c r="D3"/>
  <c r="D42" i="5"/>
  <c r="D41"/>
  <c r="D40"/>
  <c r="D39"/>
  <c r="D38"/>
  <c r="D37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3"/>
  <c r="D32"/>
  <c r="D31"/>
  <c r="D30"/>
  <c r="D29"/>
  <c r="D28"/>
  <c r="D27"/>
  <c r="D26"/>
  <c r="D25"/>
  <c r="D24"/>
  <c r="D23"/>
  <c r="D22"/>
  <c r="D21"/>
  <c r="D20"/>
  <c r="D19"/>
  <c r="AI18"/>
  <c r="X18"/>
  <c r="D17"/>
  <c r="C17"/>
  <c r="D16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 s="1"/>
  <c r="D14"/>
  <c r="D13"/>
  <c r="D12"/>
  <c r="D9"/>
  <c r="AI8"/>
  <c r="AH8"/>
  <c r="AG8"/>
  <c r="AG18" s="1"/>
  <c r="AF8"/>
  <c r="AF18" s="1"/>
  <c r="AE8"/>
  <c r="AD8"/>
  <c r="AC8"/>
  <c r="AC18" s="1"/>
  <c r="AB8"/>
  <c r="AB18" s="1"/>
  <c r="AA8"/>
  <c r="Z8"/>
  <c r="Y8"/>
  <c r="Y18" s="1"/>
  <c r="X8"/>
  <c r="W8"/>
  <c r="V8"/>
  <c r="U8"/>
  <c r="U18" s="1"/>
  <c r="T8"/>
  <c r="T18" s="1"/>
  <c r="S8"/>
  <c r="R8"/>
  <c r="Q8"/>
  <c r="Q18" s="1"/>
  <c r="P8"/>
  <c r="P18" s="1"/>
  <c r="O8"/>
  <c r="N8"/>
  <c r="M8"/>
  <c r="M18" s="1"/>
  <c r="L8"/>
  <c r="L18" s="1"/>
  <c r="K8"/>
  <c r="J8"/>
  <c r="I8"/>
  <c r="I18" s="1"/>
  <c r="H8"/>
  <c r="H18" s="1"/>
  <c r="G8"/>
  <c r="F8"/>
  <c r="E8"/>
  <c r="E18" s="1"/>
  <c r="D7"/>
  <c r="D6"/>
  <c r="AI5"/>
  <c r="AI11" s="1"/>
  <c r="AH5"/>
  <c r="AH11" s="1"/>
  <c r="AG5"/>
  <c r="AG11" s="1"/>
  <c r="AF5"/>
  <c r="AE5"/>
  <c r="AE11" s="1"/>
  <c r="AD5"/>
  <c r="AD11" s="1"/>
  <c r="AC5"/>
  <c r="AC11" s="1"/>
  <c r="AB5"/>
  <c r="AB11" s="1"/>
  <c r="AA5"/>
  <c r="AA11" s="1"/>
  <c r="Z5"/>
  <c r="Z11" s="1"/>
  <c r="Y5"/>
  <c r="Y11" s="1"/>
  <c r="X5"/>
  <c r="X11" s="1"/>
  <c r="W5"/>
  <c r="W11" s="1"/>
  <c r="V5"/>
  <c r="V11" s="1"/>
  <c r="U5"/>
  <c r="U11" s="1"/>
  <c r="T5"/>
  <c r="T11" s="1"/>
  <c r="S5"/>
  <c r="S11" s="1"/>
  <c r="R5"/>
  <c r="R11" s="1"/>
  <c r="Q5"/>
  <c r="Q11" s="1"/>
  <c r="P5"/>
  <c r="P11" s="1"/>
  <c r="O5"/>
  <c r="O11" s="1"/>
  <c r="N5"/>
  <c r="N11" s="1"/>
  <c r="M5"/>
  <c r="M11" s="1"/>
  <c r="L5"/>
  <c r="L11" s="1"/>
  <c r="K5"/>
  <c r="K11" s="1"/>
  <c r="J5"/>
  <c r="J11" s="1"/>
  <c r="I5"/>
  <c r="I11" s="1"/>
  <c r="H5"/>
  <c r="G5"/>
  <c r="G11" s="1"/>
  <c r="F5"/>
  <c r="F11" s="1"/>
  <c r="E5"/>
  <c r="E11" s="1"/>
  <c r="D4"/>
  <c r="D3"/>
  <c r="D41" i="4"/>
  <c r="D40"/>
  <c r="D39"/>
  <c r="D38"/>
  <c r="D37"/>
  <c r="D36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C34"/>
  <c r="C35" i="5" s="1"/>
  <c r="C35" i="6" s="1"/>
  <c r="C35" i="7" s="1"/>
  <c r="C35" i="8" s="1"/>
  <c r="C35" i="9" s="1"/>
  <c r="C35" i="10" s="1"/>
  <c r="C35" i="11" s="1"/>
  <c r="C35" i="12" s="1"/>
  <c r="C35" i="13" s="1"/>
  <c r="C33" i="4"/>
  <c r="C34" i="5" s="1"/>
  <c r="C34" i="6" s="1"/>
  <c r="C34" i="7" s="1"/>
  <c r="C34" i="8" s="1"/>
  <c r="C34" i="9" s="1"/>
  <c r="C34" i="10" s="1"/>
  <c r="C34" i="11" s="1"/>
  <c r="C34" i="12" s="1"/>
  <c r="C34" i="13" s="1"/>
  <c r="D32" i="4"/>
  <c r="D31"/>
  <c r="D30"/>
  <c r="D29"/>
  <c r="D28"/>
  <c r="D27"/>
  <c r="D26"/>
  <c r="D25"/>
  <c r="D24"/>
  <c r="D23"/>
  <c r="D22"/>
  <c r="D21"/>
  <c r="D20"/>
  <c r="D19"/>
  <c r="D18"/>
  <c r="D16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4"/>
  <c r="D13"/>
  <c r="D12"/>
  <c r="Q11"/>
  <c r="I11"/>
  <c r="D9"/>
  <c r="AI8"/>
  <c r="AH8"/>
  <c r="AH17" s="1"/>
  <c r="AG8"/>
  <c r="AG17" s="1"/>
  <c r="AF8"/>
  <c r="AE8"/>
  <c r="AD8"/>
  <c r="AD10" s="1"/>
  <c r="AC8"/>
  <c r="AC17" s="1"/>
  <c r="AB8"/>
  <c r="AA8"/>
  <c r="Z8"/>
  <c r="Z17" s="1"/>
  <c r="Y8"/>
  <c r="Y17" s="1"/>
  <c r="X8"/>
  <c r="W8"/>
  <c r="V8"/>
  <c r="V17" s="1"/>
  <c r="U8"/>
  <c r="U17" s="1"/>
  <c r="T8"/>
  <c r="S8"/>
  <c r="R8"/>
  <c r="R17" s="1"/>
  <c r="Q8"/>
  <c r="Q17" s="1"/>
  <c r="P8"/>
  <c r="O8"/>
  <c r="N8"/>
  <c r="N10" s="1"/>
  <c r="M8"/>
  <c r="M17" s="1"/>
  <c r="L8"/>
  <c r="K8"/>
  <c r="J8"/>
  <c r="J10" s="1"/>
  <c r="I8"/>
  <c r="I17" s="1"/>
  <c r="H8"/>
  <c r="G8"/>
  <c r="F8"/>
  <c r="F10" s="1"/>
  <c r="E8"/>
  <c r="E17" s="1"/>
  <c r="D7"/>
  <c r="D6"/>
  <c r="AI5"/>
  <c r="AI11" s="1"/>
  <c r="AH5"/>
  <c r="AH11" s="1"/>
  <c r="AG5"/>
  <c r="AF5"/>
  <c r="AF11" s="1"/>
  <c r="AE5"/>
  <c r="AE11" s="1"/>
  <c r="AD5"/>
  <c r="AD11" s="1"/>
  <c r="AC5"/>
  <c r="AC11" s="1"/>
  <c r="AB5"/>
  <c r="AB11" s="1"/>
  <c r="AA5"/>
  <c r="AA11" s="1"/>
  <c r="Z5"/>
  <c r="Z11" s="1"/>
  <c r="Y5"/>
  <c r="X5"/>
  <c r="X11" s="1"/>
  <c r="W5"/>
  <c r="W11" s="1"/>
  <c r="V5"/>
  <c r="V11" s="1"/>
  <c r="U5"/>
  <c r="U11" s="1"/>
  <c r="T5"/>
  <c r="T11" s="1"/>
  <c r="S5"/>
  <c r="S11" s="1"/>
  <c r="R5"/>
  <c r="R11" s="1"/>
  <c r="Q5"/>
  <c r="P5"/>
  <c r="P11" s="1"/>
  <c r="O5"/>
  <c r="O11" s="1"/>
  <c r="N5"/>
  <c r="N11" s="1"/>
  <c r="M5"/>
  <c r="M11" s="1"/>
  <c r="L5"/>
  <c r="L11" s="1"/>
  <c r="K5"/>
  <c r="K11" s="1"/>
  <c r="J5"/>
  <c r="J11" s="1"/>
  <c r="I5"/>
  <c r="H5"/>
  <c r="H11" s="1"/>
  <c r="G5"/>
  <c r="G11" s="1"/>
  <c r="F5"/>
  <c r="F11" s="1"/>
  <c r="E5"/>
  <c r="E11" s="1"/>
  <c r="D4"/>
  <c r="D3"/>
  <c r="D41" i="2"/>
  <c r="D40"/>
  <c r="D39"/>
  <c r="D38"/>
  <c r="D37"/>
  <c r="D36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C34"/>
  <c r="C33"/>
  <c r="D32"/>
  <c r="D31"/>
  <c r="D30"/>
  <c r="D29"/>
  <c r="D28"/>
  <c r="D27"/>
  <c r="D26"/>
  <c r="D25"/>
  <c r="D24"/>
  <c r="D23"/>
  <c r="D22"/>
  <c r="D21"/>
  <c r="D20"/>
  <c r="D19"/>
  <c r="D18"/>
  <c r="D16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4"/>
  <c r="D13"/>
  <c r="D12"/>
  <c r="H10"/>
  <c r="D9"/>
  <c r="AI8"/>
  <c r="AH8"/>
  <c r="AG8"/>
  <c r="AG17" s="1"/>
  <c r="AF8"/>
  <c r="AF17" s="1"/>
  <c r="AE8"/>
  <c r="AD8"/>
  <c r="AC8"/>
  <c r="AC10" s="1"/>
  <c r="AB8"/>
  <c r="AB17" s="1"/>
  <c r="AA8"/>
  <c r="Z8"/>
  <c r="Z17" s="1"/>
  <c r="Y8"/>
  <c r="Y10" s="1"/>
  <c r="X8"/>
  <c r="X17" s="1"/>
  <c r="W8"/>
  <c r="V8"/>
  <c r="U8"/>
  <c r="U17" s="1"/>
  <c r="T8"/>
  <c r="T17" s="1"/>
  <c r="S8"/>
  <c r="R8"/>
  <c r="R17" s="1"/>
  <c r="Q8"/>
  <c r="Q17" s="1"/>
  <c r="P8"/>
  <c r="P17" s="1"/>
  <c r="O8"/>
  <c r="N8"/>
  <c r="M8"/>
  <c r="M10" s="1"/>
  <c r="L8"/>
  <c r="L17" s="1"/>
  <c r="K8"/>
  <c r="J8"/>
  <c r="J17" s="1"/>
  <c r="I8"/>
  <c r="I10" s="1"/>
  <c r="H8"/>
  <c r="H17" s="1"/>
  <c r="G8"/>
  <c r="F8"/>
  <c r="E8"/>
  <c r="E17" s="1"/>
  <c r="D7"/>
  <c r="D6"/>
  <c r="AI5"/>
  <c r="AI11" s="1"/>
  <c r="AH5"/>
  <c r="AH11" s="1"/>
  <c r="AG5"/>
  <c r="AG11" s="1"/>
  <c r="AF5"/>
  <c r="AF11" s="1"/>
  <c r="AE5"/>
  <c r="AE11" s="1"/>
  <c r="AD5"/>
  <c r="AD11" s="1"/>
  <c r="AC5"/>
  <c r="AC11" s="1"/>
  <c r="AB5"/>
  <c r="AB11" s="1"/>
  <c r="AA5"/>
  <c r="AA11" s="1"/>
  <c r="Z5"/>
  <c r="Z11" s="1"/>
  <c r="Y5"/>
  <c r="Y11" s="1"/>
  <c r="X5"/>
  <c r="X11" s="1"/>
  <c r="W5"/>
  <c r="W11" s="1"/>
  <c r="V5"/>
  <c r="V11" s="1"/>
  <c r="U5"/>
  <c r="U11" s="1"/>
  <c r="T5"/>
  <c r="T11" s="1"/>
  <c r="S5"/>
  <c r="S11" s="1"/>
  <c r="R5"/>
  <c r="R11" s="1"/>
  <c r="Q5"/>
  <c r="Q11" s="1"/>
  <c r="P5"/>
  <c r="P11" s="1"/>
  <c r="O5"/>
  <c r="O11" s="1"/>
  <c r="N5"/>
  <c r="N11" s="1"/>
  <c r="M5"/>
  <c r="M11" s="1"/>
  <c r="L5"/>
  <c r="L11" s="1"/>
  <c r="K5"/>
  <c r="K11" s="1"/>
  <c r="J5"/>
  <c r="J11" s="1"/>
  <c r="I5"/>
  <c r="I11" s="1"/>
  <c r="H5"/>
  <c r="H11" s="1"/>
  <c r="G5"/>
  <c r="F5"/>
  <c r="F11" s="1"/>
  <c r="E5"/>
  <c r="E11" s="1"/>
  <c r="D4"/>
  <c r="D3"/>
  <c r="D41" i="1"/>
  <c r="C41" s="1"/>
  <c r="C41" i="2" s="1"/>
  <c r="D40" i="1"/>
  <c r="C40"/>
  <c r="D39"/>
  <c r="C39" s="1"/>
  <c r="C39" i="2" s="1"/>
  <c r="D38" i="1"/>
  <c r="C38" s="1"/>
  <c r="D37"/>
  <c r="D36"/>
  <c r="C36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2"/>
  <c r="C32" s="1"/>
  <c r="D31"/>
  <c r="C31" s="1"/>
  <c r="D30"/>
  <c r="C30" s="1"/>
  <c r="D29"/>
  <c r="C29"/>
  <c r="C29" i="2" s="1"/>
  <c r="D28" i="1"/>
  <c r="C28" s="1"/>
  <c r="D27"/>
  <c r="C27" s="1"/>
  <c r="D26"/>
  <c r="C26" s="1"/>
  <c r="D25"/>
  <c r="C25" s="1"/>
  <c r="C25" i="2" s="1"/>
  <c r="D24" i="1"/>
  <c r="C24" s="1"/>
  <c r="D23"/>
  <c r="C23" s="1"/>
  <c r="D22"/>
  <c r="C22" s="1"/>
  <c r="D21"/>
  <c r="C21"/>
  <c r="C21" i="2" s="1"/>
  <c r="C21" i="4" s="1"/>
  <c r="D20" i="1"/>
  <c r="C20" s="1"/>
  <c r="D19"/>
  <c r="C19" s="1"/>
  <c r="D16"/>
  <c r="C16" s="1"/>
  <c r="C16" i="2" s="1"/>
  <c r="AI15" i="1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4"/>
  <c r="C14" s="1"/>
  <c r="C14" i="2" s="1"/>
  <c r="D13" i="1"/>
  <c r="C13" s="1"/>
  <c r="C13" i="2" s="1"/>
  <c r="D12" i="1"/>
  <c r="C12" s="1"/>
  <c r="AH11"/>
  <c r="R11"/>
  <c r="AD10"/>
  <c r="D9"/>
  <c r="C9" s="1"/>
  <c r="C9" i="2" s="1"/>
  <c r="C9" i="4" s="1"/>
  <c r="AI8" i="1"/>
  <c r="AH8"/>
  <c r="AH17" s="1"/>
  <c r="AG8"/>
  <c r="AG10" s="1"/>
  <c r="AF8"/>
  <c r="AE8"/>
  <c r="AD8"/>
  <c r="AD17" s="1"/>
  <c r="AC8"/>
  <c r="AC10" s="1"/>
  <c r="AB8"/>
  <c r="AA8"/>
  <c r="Z8"/>
  <c r="Z17" s="1"/>
  <c r="Y8"/>
  <c r="Y10" s="1"/>
  <c r="X8"/>
  <c r="W8"/>
  <c r="V8"/>
  <c r="V17" s="1"/>
  <c r="U8"/>
  <c r="U10" s="1"/>
  <c r="T8"/>
  <c r="S8"/>
  <c r="R8"/>
  <c r="R17" s="1"/>
  <c r="Q8"/>
  <c r="Q10" s="1"/>
  <c r="P8"/>
  <c r="P17" s="1"/>
  <c r="O8"/>
  <c r="N8"/>
  <c r="N17" s="1"/>
  <c r="M8"/>
  <c r="M10" s="1"/>
  <c r="L8"/>
  <c r="K8"/>
  <c r="K17" s="1"/>
  <c r="J8"/>
  <c r="J17" s="1"/>
  <c r="I8"/>
  <c r="I10" s="1"/>
  <c r="H8"/>
  <c r="H17" s="1"/>
  <c r="G8"/>
  <c r="F8"/>
  <c r="F17" s="1"/>
  <c r="E8"/>
  <c r="E10" s="1"/>
  <c r="D7"/>
  <c r="C7" s="1"/>
  <c r="D6"/>
  <c r="C6" s="1"/>
  <c r="C6" i="2" s="1"/>
  <c r="C6" i="4" s="1"/>
  <c r="C6" i="5" s="1"/>
  <c r="AI5" i="1"/>
  <c r="AI11" s="1"/>
  <c r="AH5"/>
  <c r="AH10" s="1"/>
  <c r="AG5"/>
  <c r="AG11" s="1"/>
  <c r="AF5"/>
  <c r="AF11" s="1"/>
  <c r="AE5"/>
  <c r="AE11" s="1"/>
  <c r="AD5"/>
  <c r="AD11" s="1"/>
  <c r="AC5"/>
  <c r="AC11" s="1"/>
  <c r="AB5"/>
  <c r="AB11" s="1"/>
  <c r="AA5"/>
  <c r="AA11" s="1"/>
  <c r="Z5"/>
  <c r="Z11" s="1"/>
  <c r="Y5"/>
  <c r="Y11" s="1"/>
  <c r="X5"/>
  <c r="X11" s="1"/>
  <c r="W5"/>
  <c r="W11" s="1"/>
  <c r="V5"/>
  <c r="V11" s="1"/>
  <c r="U5"/>
  <c r="U11" s="1"/>
  <c r="T5"/>
  <c r="T11" s="1"/>
  <c r="S5"/>
  <c r="S11" s="1"/>
  <c r="R5"/>
  <c r="R10" s="1"/>
  <c r="Q5"/>
  <c r="Q11" s="1"/>
  <c r="P5"/>
  <c r="P11" s="1"/>
  <c r="O5"/>
  <c r="O11" s="1"/>
  <c r="N5"/>
  <c r="N11" s="1"/>
  <c r="M5"/>
  <c r="M11" s="1"/>
  <c r="L5"/>
  <c r="L11" s="1"/>
  <c r="K5"/>
  <c r="K11" s="1"/>
  <c r="J5"/>
  <c r="J10" s="1"/>
  <c r="I5"/>
  <c r="I11" s="1"/>
  <c r="H5"/>
  <c r="H11" s="1"/>
  <c r="G5"/>
  <c r="G11" s="1"/>
  <c r="F5"/>
  <c r="E5"/>
  <c r="E11" s="1"/>
  <c r="D4"/>
  <c r="C4" s="1"/>
  <c r="C4" i="2" s="1"/>
  <c r="D3" i="1"/>
  <c r="C3" s="1"/>
  <c r="N11" i="13" l="1"/>
  <c r="V11"/>
  <c r="D14"/>
  <c r="O18"/>
  <c r="G18"/>
  <c r="J15"/>
  <c r="AI10"/>
  <c r="K10"/>
  <c r="G15"/>
  <c r="K15"/>
  <c r="O15"/>
  <c r="L15"/>
  <c r="D13"/>
  <c r="F15"/>
  <c r="F15" i="12"/>
  <c r="J15"/>
  <c r="N15"/>
  <c r="V15"/>
  <c r="AD15"/>
  <c r="AH15"/>
  <c r="J10"/>
  <c r="AD11"/>
  <c r="AC10"/>
  <c r="G15"/>
  <c r="K15"/>
  <c r="O15"/>
  <c r="S15"/>
  <c r="W15"/>
  <c r="AA15"/>
  <c r="AE15"/>
  <c r="D14"/>
  <c r="X10"/>
  <c r="L10"/>
  <c r="T10"/>
  <c r="P10"/>
  <c r="AI10"/>
  <c r="D13"/>
  <c r="H10"/>
  <c r="E15"/>
  <c r="I15"/>
  <c r="M15"/>
  <c r="Q15"/>
  <c r="U15"/>
  <c r="Y15"/>
  <c r="AC15"/>
  <c r="AG15"/>
  <c r="G11" i="11"/>
  <c r="K10"/>
  <c r="O11"/>
  <c r="S11"/>
  <c r="W11"/>
  <c r="AE11"/>
  <c r="AI11"/>
  <c r="K11"/>
  <c r="AH18"/>
  <c r="Z10"/>
  <c r="F11"/>
  <c r="J11"/>
  <c r="N11"/>
  <c r="R11"/>
  <c r="V11"/>
  <c r="Z11"/>
  <c r="AD11"/>
  <c r="AH11"/>
  <c r="R10"/>
  <c r="S15"/>
  <c r="H10"/>
  <c r="X10"/>
  <c r="P10"/>
  <c r="G15"/>
  <c r="O15"/>
  <c r="D36"/>
  <c r="L10"/>
  <c r="T10"/>
  <c r="AB10"/>
  <c r="AF18"/>
  <c r="AG11"/>
  <c r="J10"/>
  <c r="AG15"/>
  <c r="L10" i="10"/>
  <c r="T10"/>
  <c r="AF10"/>
  <c r="J10"/>
  <c r="P10"/>
  <c r="AB10"/>
  <c r="R10"/>
  <c r="AH10"/>
  <c r="D13"/>
  <c r="C19"/>
  <c r="C19" i="11" s="1"/>
  <c r="C19" i="12" s="1"/>
  <c r="C19" i="13" s="1"/>
  <c r="F11" i="10"/>
  <c r="J11"/>
  <c r="N11"/>
  <c r="R11"/>
  <c r="V11"/>
  <c r="Z11"/>
  <c r="AD11"/>
  <c r="AH11"/>
  <c r="AG11"/>
  <c r="H10"/>
  <c r="Z10"/>
  <c r="N15"/>
  <c r="D15" s="1"/>
  <c r="R15"/>
  <c r="V15"/>
  <c r="Z15"/>
  <c r="AD15"/>
  <c r="AH15"/>
  <c r="J18"/>
  <c r="D14"/>
  <c r="D44"/>
  <c r="X10"/>
  <c r="Q15"/>
  <c r="Y15"/>
  <c r="AG15"/>
  <c r="E15"/>
  <c r="D36"/>
  <c r="F10" i="9"/>
  <c r="J10"/>
  <c r="N10"/>
  <c r="V10"/>
  <c r="Z10"/>
  <c r="AD10"/>
  <c r="Q11"/>
  <c r="I15"/>
  <c r="M15"/>
  <c r="U15"/>
  <c r="Y15"/>
  <c r="AC15"/>
  <c r="D14"/>
  <c r="D45"/>
  <c r="L10"/>
  <c r="T10"/>
  <c r="AB10"/>
  <c r="AH10"/>
  <c r="H10"/>
  <c r="P10"/>
  <c r="X10"/>
  <c r="AF10"/>
  <c r="R10"/>
  <c r="F11" i="8"/>
  <c r="J10"/>
  <c r="N11"/>
  <c r="R10"/>
  <c r="V11"/>
  <c r="Z10"/>
  <c r="AD11"/>
  <c r="AH10"/>
  <c r="U10"/>
  <c r="P15"/>
  <c r="T15"/>
  <c r="AF15"/>
  <c r="D14"/>
  <c r="I15"/>
  <c r="Y15"/>
  <c r="AG36"/>
  <c r="D5"/>
  <c r="D44" s="1"/>
  <c r="H15"/>
  <c r="X15"/>
  <c r="G11"/>
  <c r="K11"/>
  <c r="O11"/>
  <c r="S11"/>
  <c r="W11"/>
  <c r="AA11"/>
  <c r="AE11"/>
  <c r="AI11"/>
  <c r="S10"/>
  <c r="AI10"/>
  <c r="T11"/>
  <c r="AA18"/>
  <c r="AD10"/>
  <c r="I11"/>
  <c r="L15"/>
  <c r="AB15"/>
  <c r="E15"/>
  <c r="F10"/>
  <c r="J11"/>
  <c r="V10"/>
  <c r="Z11"/>
  <c r="O10"/>
  <c r="AE10"/>
  <c r="R11"/>
  <c r="D13"/>
  <c r="K18"/>
  <c r="Z18"/>
  <c r="U18" i="7"/>
  <c r="D45"/>
  <c r="D5"/>
  <c r="I11"/>
  <c r="M10"/>
  <c r="Q11"/>
  <c r="Y10"/>
  <c r="AC10"/>
  <c r="Q18"/>
  <c r="AG18"/>
  <c r="F15"/>
  <c r="J15"/>
  <c r="N15"/>
  <c r="R15"/>
  <c r="V15"/>
  <c r="Z15"/>
  <c r="AD15"/>
  <c r="AH15"/>
  <c r="M18"/>
  <c r="AC18"/>
  <c r="J10"/>
  <c r="R10"/>
  <c r="Z10"/>
  <c r="I15"/>
  <c r="M15"/>
  <c r="Q15"/>
  <c r="U15"/>
  <c r="Y15"/>
  <c r="AC15"/>
  <c r="AG15"/>
  <c r="I10"/>
  <c r="Y11"/>
  <c r="D8"/>
  <c r="D11" s="1"/>
  <c r="E10"/>
  <c r="H11"/>
  <c r="U11"/>
  <c r="AG11"/>
  <c r="D14"/>
  <c r="E11"/>
  <c r="AF11"/>
  <c r="H10"/>
  <c r="P10"/>
  <c r="X10"/>
  <c r="AF10"/>
  <c r="D13"/>
  <c r="D13" i="6"/>
  <c r="L10"/>
  <c r="X10"/>
  <c r="AI10"/>
  <c r="K18"/>
  <c r="T10"/>
  <c r="AF10"/>
  <c r="S18"/>
  <c r="H10"/>
  <c r="AB10"/>
  <c r="AA18"/>
  <c r="P10"/>
  <c r="G10" i="5"/>
  <c r="K10"/>
  <c r="O10"/>
  <c r="S10"/>
  <c r="W10"/>
  <c r="AA10"/>
  <c r="AE10"/>
  <c r="AI10"/>
  <c r="E10"/>
  <c r="K18"/>
  <c r="U10"/>
  <c r="Q10"/>
  <c r="AG10"/>
  <c r="D5"/>
  <c r="D44" s="1"/>
  <c r="H10"/>
  <c r="AF10"/>
  <c r="M10"/>
  <c r="AC10"/>
  <c r="S18"/>
  <c r="D36"/>
  <c r="C9"/>
  <c r="C9" i="6" s="1"/>
  <c r="C9" i="7" s="1"/>
  <c r="C9" i="8" s="1"/>
  <c r="C9" i="9" s="1"/>
  <c r="C9" i="10" s="1"/>
  <c r="C9" i="11" s="1"/>
  <c r="C9" i="12" s="1"/>
  <c r="C9" i="13" s="1"/>
  <c r="I10" i="5"/>
  <c r="Y10"/>
  <c r="AA18"/>
  <c r="AC10" i="4"/>
  <c r="C14"/>
  <c r="C14" i="5" s="1"/>
  <c r="C16" i="4"/>
  <c r="C25"/>
  <c r="C26" i="5" s="1"/>
  <c r="C29" i="4"/>
  <c r="C39"/>
  <c r="C40" i="5" s="1"/>
  <c r="C40" i="6" s="1"/>
  <c r="C40" i="7" s="1"/>
  <c r="C40" i="8" s="1"/>
  <c r="N17" i="4"/>
  <c r="AD17"/>
  <c r="C41"/>
  <c r="C42" i="5" s="1"/>
  <c r="C42" i="6" s="1"/>
  <c r="C42" i="7" s="1"/>
  <c r="C42" i="8" s="1"/>
  <c r="I10" i="4"/>
  <c r="Q10"/>
  <c r="Y10"/>
  <c r="AG10"/>
  <c r="M10"/>
  <c r="V10"/>
  <c r="AH10"/>
  <c r="AG11"/>
  <c r="D15"/>
  <c r="F17"/>
  <c r="R10"/>
  <c r="C4"/>
  <c r="C4" i="5" s="1"/>
  <c r="C4" i="6" s="1"/>
  <c r="C4" i="7" s="1"/>
  <c r="C4" i="8" s="1"/>
  <c r="C4" i="9" s="1"/>
  <c r="C4" i="10" s="1"/>
  <c r="C4" i="11" s="1"/>
  <c r="C4" i="12" s="1"/>
  <c r="C4" i="13" s="1"/>
  <c r="E10" i="4"/>
  <c r="Z10"/>
  <c r="J17"/>
  <c r="D43"/>
  <c r="C13"/>
  <c r="C13" i="5" s="1"/>
  <c r="D5" i="4"/>
  <c r="D44" s="1"/>
  <c r="G10"/>
  <c r="K10"/>
  <c r="O10"/>
  <c r="S10"/>
  <c r="W10"/>
  <c r="AA10"/>
  <c r="AE10"/>
  <c r="AI10"/>
  <c r="U10"/>
  <c r="Y11"/>
  <c r="AC17" i="2"/>
  <c r="C12"/>
  <c r="C12" i="4" s="1"/>
  <c r="C12" i="5" s="1"/>
  <c r="C12" i="6" s="1"/>
  <c r="C12" i="7" s="1"/>
  <c r="C12" i="8" s="1"/>
  <c r="C12" i="9" s="1"/>
  <c r="C12" i="10" s="1"/>
  <c r="C12" i="11" s="1"/>
  <c r="C12" i="12" s="1"/>
  <c r="C12" i="13" s="1"/>
  <c r="X10" i="2"/>
  <c r="C32"/>
  <c r="C32" i="4" s="1"/>
  <c r="C33" i="5" s="1"/>
  <c r="C33" i="6" s="1"/>
  <c r="C33" i="7" s="1"/>
  <c r="C33" i="8" s="1"/>
  <c r="C33" i="9" s="1"/>
  <c r="C33" i="10" s="1"/>
  <c r="C33" i="11" s="1"/>
  <c r="C33" i="12" s="1"/>
  <c r="C33" i="13" s="1"/>
  <c r="C36" i="2"/>
  <c r="C36" i="4" s="1"/>
  <c r="C37" i="5" s="1"/>
  <c r="D5" i="2"/>
  <c r="D44" s="1"/>
  <c r="F10"/>
  <c r="N10"/>
  <c r="V10"/>
  <c r="AD10"/>
  <c r="AH10"/>
  <c r="P10"/>
  <c r="C30"/>
  <c r="C30" i="4" s="1"/>
  <c r="C31" i="5" s="1"/>
  <c r="C31" i="6" s="1"/>
  <c r="C31" i="7" s="1"/>
  <c r="C31" i="8" s="1"/>
  <c r="C31" i="9" s="1"/>
  <c r="C31" i="10" s="1"/>
  <c r="C31" i="11" s="1"/>
  <c r="C31" i="12" s="1"/>
  <c r="C31" i="13" s="1"/>
  <c r="AF10" i="2"/>
  <c r="D15"/>
  <c r="M17"/>
  <c r="C3"/>
  <c r="C3" i="4" s="1"/>
  <c r="C3" i="5" s="1"/>
  <c r="C3" i="6" s="1"/>
  <c r="C3" i="7" s="1"/>
  <c r="C3" i="8" s="1"/>
  <c r="C3" i="9" s="1"/>
  <c r="C3" i="10" s="1"/>
  <c r="C3" i="11" s="1"/>
  <c r="C3" i="12" s="1"/>
  <c r="C3" i="13" s="1"/>
  <c r="C24" i="2"/>
  <c r="C24" i="4" s="1"/>
  <c r="C28" i="2"/>
  <c r="C28" i="4" s="1"/>
  <c r="C29" i="5" s="1"/>
  <c r="C29" i="6" s="1"/>
  <c r="C29" i="7" s="1"/>
  <c r="C29" i="8" s="1"/>
  <c r="C38" i="2"/>
  <c r="C38" i="4" s="1"/>
  <c r="C39" i="5" s="1"/>
  <c r="C39" i="6" s="1"/>
  <c r="C39" i="7" s="1"/>
  <c r="E10" i="2"/>
  <c r="U10"/>
  <c r="I17"/>
  <c r="Y17"/>
  <c r="D35"/>
  <c r="D43"/>
  <c r="C20"/>
  <c r="C20" i="4" s="1"/>
  <c r="C21" i="5" s="1"/>
  <c r="C21" i="6" s="1"/>
  <c r="C21" i="7" s="1"/>
  <c r="C21" i="8" s="1"/>
  <c r="C21" i="9" s="1"/>
  <c r="C21" i="10" s="1"/>
  <c r="C21" i="11" s="1"/>
  <c r="C21" i="12" s="1"/>
  <c r="C21" i="13" s="1"/>
  <c r="C23" i="2"/>
  <c r="C23" i="4" s="1"/>
  <c r="C24" i="5" s="1"/>
  <c r="C24" i="6" s="1"/>
  <c r="C24" i="7" s="1"/>
  <c r="C24" i="8" s="1"/>
  <c r="C24" i="9" s="1"/>
  <c r="C24" i="10" s="1"/>
  <c r="C24" i="11" s="1"/>
  <c r="C24" i="12" s="1"/>
  <c r="C24" i="13" s="1"/>
  <c r="C27" i="2"/>
  <c r="C27" i="4" s="1"/>
  <c r="C28" i="5" s="1"/>
  <c r="C28" i="6" s="1"/>
  <c r="C28" i="7" s="1"/>
  <c r="C28" i="8" s="1"/>
  <c r="C28" i="9" s="1"/>
  <c r="C28" i="10" s="1"/>
  <c r="C28" i="11" s="1"/>
  <c r="C28" i="12" s="1"/>
  <c r="C28" i="13" s="1"/>
  <c r="L10" i="2"/>
  <c r="T10"/>
  <c r="AB10"/>
  <c r="C7"/>
  <c r="C7" i="4" s="1"/>
  <c r="C7" i="5" s="1"/>
  <c r="C7" i="6" s="1"/>
  <c r="C7" i="7" s="1"/>
  <c r="C7" i="8" s="1"/>
  <c r="C7" i="9" s="1"/>
  <c r="C7" i="10" s="1"/>
  <c r="C7" i="11" s="1"/>
  <c r="C7" i="12" s="1"/>
  <c r="C7" i="13" s="1"/>
  <c r="C19" i="2"/>
  <c r="C19" i="4" s="1"/>
  <c r="C20" i="5" s="1"/>
  <c r="C20" i="6" s="1"/>
  <c r="C20" i="7" s="1"/>
  <c r="C20" i="8" s="1"/>
  <c r="C20" i="9" s="1"/>
  <c r="C20" i="10" s="1"/>
  <c r="C20" i="11" s="1"/>
  <c r="C20" i="12" s="1"/>
  <c r="C20" i="13" s="1"/>
  <c r="C22" i="2"/>
  <c r="C22" i="4" s="1"/>
  <c r="C23" i="5" s="1"/>
  <c r="C23" i="6" s="1"/>
  <c r="C23" i="7" s="1"/>
  <c r="C23" i="8" s="1"/>
  <c r="C23" i="9" s="1"/>
  <c r="C23" i="10" s="1"/>
  <c r="C23" i="11" s="1"/>
  <c r="C23" i="12" s="1"/>
  <c r="C23" i="13" s="1"/>
  <c r="C26" i="2"/>
  <c r="C26" i="4" s="1"/>
  <c r="C27" i="5" s="1"/>
  <c r="C27" i="6" s="1"/>
  <c r="C27" i="7" s="1"/>
  <c r="C27" i="8" s="1"/>
  <c r="C27" i="9" s="1"/>
  <c r="C27" i="10" s="1"/>
  <c r="C27" i="11" s="1"/>
  <c r="C27" i="12" s="1"/>
  <c r="C27" i="13" s="1"/>
  <c r="C40" i="2"/>
  <c r="C40" i="4" s="1"/>
  <c r="C41" i="5" s="1"/>
  <c r="C41" i="6" s="1"/>
  <c r="C41" i="7" s="1"/>
  <c r="G10" i="2"/>
  <c r="K10"/>
  <c r="O10"/>
  <c r="S10"/>
  <c r="W10"/>
  <c r="AA10"/>
  <c r="AE10"/>
  <c r="AI10"/>
  <c r="Q10"/>
  <c r="AG10"/>
  <c r="D5" i="1"/>
  <c r="C5" s="1"/>
  <c r="L10"/>
  <c r="T10"/>
  <c r="X10"/>
  <c r="AB10"/>
  <c r="AF10"/>
  <c r="N10"/>
  <c r="O10"/>
  <c r="W10"/>
  <c r="AE10"/>
  <c r="Z10"/>
  <c r="C37"/>
  <c r="C37" i="2" s="1"/>
  <c r="C37" i="4" s="1"/>
  <c r="C38" i="5" s="1"/>
  <c r="F10" i="1"/>
  <c r="V10"/>
  <c r="J11"/>
  <c r="D35"/>
  <c r="G10"/>
  <c r="S10"/>
  <c r="AA10"/>
  <c r="AI10"/>
  <c r="F11"/>
  <c r="D15"/>
  <c r="C15" s="1"/>
  <c r="C15" i="2" s="1"/>
  <c r="AH11" i="13"/>
  <c r="AG10"/>
  <c r="AE10"/>
  <c r="AD11"/>
  <c r="AA10"/>
  <c r="Y10"/>
  <c r="W10"/>
  <c r="D8"/>
  <c r="D18" s="1"/>
  <c r="S10"/>
  <c r="C35" i="1"/>
  <c r="G17"/>
  <c r="O17"/>
  <c r="S17"/>
  <c r="AA17"/>
  <c r="AI17"/>
  <c r="G11" i="2"/>
  <c r="G17" i="4"/>
  <c r="W17"/>
  <c r="P10" i="5"/>
  <c r="X10"/>
  <c r="C16"/>
  <c r="D8" i="1"/>
  <c r="K10"/>
  <c r="L17"/>
  <c r="T17"/>
  <c r="AB17"/>
  <c r="C31" i="2"/>
  <c r="C31" i="4" s="1"/>
  <c r="C32" i="5" s="1"/>
  <c r="C32" i="6" s="1"/>
  <c r="C32" i="7" s="1"/>
  <c r="C32" i="8" s="1"/>
  <c r="C32" i="9" s="1"/>
  <c r="C32" i="10" s="1"/>
  <c r="C32" i="11" s="1"/>
  <c r="C32" i="12" s="1"/>
  <c r="C32" i="13" s="1"/>
  <c r="F17" i="2"/>
  <c r="N17"/>
  <c r="V17"/>
  <c r="AD17"/>
  <c r="AH17"/>
  <c r="H10" i="4"/>
  <c r="H17"/>
  <c r="P10"/>
  <c r="P17"/>
  <c r="X10"/>
  <c r="X17"/>
  <c r="AF10"/>
  <c r="AF17"/>
  <c r="F18" i="5"/>
  <c r="F10"/>
  <c r="N18"/>
  <c r="N10"/>
  <c r="V18"/>
  <c r="V10"/>
  <c r="AD18"/>
  <c r="AD10"/>
  <c r="AH18"/>
  <c r="AH10"/>
  <c r="H11"/>
  <c r="AF11"/>
  <c r="E11" i="6"/>
  <c r="D5"/>
  <c r="D45" s="1"/>
  <c r="E18" i="8"/>
  <c r="E11"/>
  <c r="E10"/>
  <c r="D8"/>
  <c r="Q18"/>
  <c r="Q11"/>
  <c r="Q10"/>
  <c r="Y18"/>
  <c r="Y11"/>
  <c r="Y10"/>
  <c r="H10" i="1"/>
  <c r="P10"/>
  <c r="M17"/>
  <c r="Y17"/>
  <c r="D8" i="2"/>
  <c r="D17" s="1"/>
  <c r="J10"/>
  <c r="R10"/>
  <c r="Z10"/>
  <c r="G17"/>
  <c r="K17"/>
  <c r="O17"/>
  <c r="S17"/>
  <c r="W17"/>
  <c r="AA17"/>
  <c r="AE17"/>
  <c r="AI17"/>
  <c r="K17" i="4"/>
  <c r="S17"/>
  <c r="AA17"/>
  <c r="AI17"/>
  <c r="D35"/>
  <c r="L10" i="5"/>
  <c r="T10"/>
  <c r="AB10"/>
  <c r="G18"/>
  <c r="O18"/>
  <c r="W18"/>
  <c r="AE18"/>
  <c r="D45"/>
  <c r="D43" i="7"/>
  <c r="L10"/>
  <c r="L11"/>
  <c r="T10"/>
  <c r="T11"/>
  <c r="AB10"/>
  <c r="AB11"/>
  <c r="F18"/>
  <c r="F11"/>
  <c r="F10"/>
  <c r="J18"/>
  <c r="J11"/>
  <c r="N18"/>
  <c r="N11"/>
  <c r="N10"/>
  <c r="R18"/>
  <c r="R11"/>
  <c r="V18"/>
  <c r="V11"/>
  <c r="V10"/>
  <c r="Z18"/>
  <c r="Z11"/>
  <c r="AD18"/>
  <c r="AD11"/>
  <c r="AD10"/>
  <c r="AH18"/>
  <c r="AH11"/>
  <c r="AH10"/>
  <c r="X11"/>
  <c r="I10" i="8"/>
  <c r="M15"/>
  <c r="Q15"/>
  <c r="U15"/>
  <c r="AC15"/>
  <c r="AG15"/>
  <c r="D8" i="9"/>
  <c r="E18"/>
  <c r="E10"/>
  <c r="E11"/>
  <c r="I18"/>
  <c r="I10"/>
  <c r="I11"/>
  <c r="M18"/>
  <c r="M10"/>
  <c r="M11"/>
  <c r="Q18"/>
  <c r="Q10"/>
  <c r="U18"/>
  <c r="U10"/>
  <c r="U11"/>
  <c r="Y18"/>
  <c r="Y10"/>
  <c r="Y11"/>
  <c r="AC18"/>
  <c r="AC10"/>
  <c r="AC11"/>
  <c r="AG18"/>
  <c r="AG10"/>
  <c r="AG11"/>
  <c r="D14" i="11"/>
  <c r="E15"/>
  <c r="W17" i="1"/>
  <c r="AE17"/>
  <c r="O17" i="4"/>
  <c r="AE17"/>
  <c r="C26" i="6"/>
  <c r="C26" i="7" s="1"/>
  <c r="C26" i="8" s="1"/>
  <c r="C26" i="9" s="1"/>
  <c r="C26" i="10" s="1"/>
  <c r="C26" i="11" s="1"/>
  <c r="C26" i="12" s="1"/>
  <c r="C26" i="13" s="1"/>
  <c r="D44" i="6"/>
  <c r="E15" i="7"/>
  <c r="D15" s="1"/>
  <c r="X17" i="1"/>
  <c r="AF17"/>
  <c r="D8" i="4"/>
  <c r="D17" s="1"/>
  <c r="L10"/>
  <c r="L17"/>
  <c r="T10"/>
  <c r="T17"/>
  <c r="AB10"/>
  <c r="AB17"/>
  <c r="D42"/>
  <c r="J18" i="5"/>
  <c r="J10"/>
  <c r="R18"/>
  <c r="R10"/>
  <c r="Z18"/>
  <c r="Z10"/>
  <c r="C30"/>
  <c r="C30" i="6" s="1"/>
  <c r="C30" i="7" s="1"/>
  <c r="C30" i="8" s="1"/>
  <c r="C30" i="9" s="1"/>
  <c r="C30" i="10" s="1"/>
  <c r="C30" i="11" s="1"/>
  <c r="C30" i="12" s="1"/>
  <c r="C30" i="13" s="1"/>
  <c r="M18" i="8"/>
  <c r="M10"/>
  <c r="M11"/>
  <c r="U18"/>
  <c r="U11"/>
  <c r="AC18"/>
  <c r="AC10"/>
  <c r="AG18"/>
  <c r="AG11"/>
  <c r="AG10"/>
  <c r="D36" i="12"/>
  <c r="E17" i="1"/>
  <c r="I17"/>
  <c r="Q17"/>
  <c r="U17"/>
  <c r="AC17"/>
  <c r="AG17"/>
  <c r="D42" i="2"/>
  <c r="C22" i="5"/>
  <c r="C22" i="6" s="1"/>
  <c r="C22" i="7" s="1"/>
  <c r="C22" i="8" s="1"/>
  <c r="C22" i="9" s="1"/>
  <c r="C22" i="10" s="1"/>
  <c r="C22" i="11" s="1"/>
  <c r="C22" i="12" s="1"/>
  <c r="C22" i="13" s="1"/>
  <c r="D43" i="5"/>
  <c r="D14" i="6"/>
  <c r="AF15"/>
  <c r="D15" s="1"/>
  <c r="P11" i="7"/>
  <c r="D36"/>
  <c r="AC11" i="8"/>
  <c r="D44" i="9"/>
  <c r="D8" i="5"/>
  <c r="D18" s="1"/>
  <c r="E18" i="6"/>
  <c r="D8"/>
  <c r="D18" s="1"/>
  <c r="E10"/>
  <c r="I18"/>
  <c r="I10"/>
  <c r="M18"/>
  <c r="M10"/>
  <c r="Q18"/>
  <c r="Q10"/>
  <c r="U18"/>
  <c r="U10"/>
  <c r="Y18"/>
  <c r="Y10"/>
  <c r="AC18"/>
  <c r="AC10"/>
  <c r="AG18"/>
  <c r="AG10"/>
  <c r="G10"/>
  <c r="O10"/>
  <c r="W10"/>
  <c r="AE10"/>
  <c r="C17"/>
  <c r="C17" i="7" s="1"/>
  <c r="C17" i="8" s="1"/>
  <c r="C17" i="9" s="1"/>
  <c r="C17" i="10" s="1"/>
  <c r="C17" i="11" s="1"/>
  <c r="C17" i="12" s="1"/>
  <c r="C17" i="13" s="1"/>
  <c r="G18" i="7"/>
  <c r="G11"/>
  <c r="G10"/>
  <c r="K18"/>
  <c r="K11"/>
  <c r="K10"/>
  <c r="O18"/>
  <c r="O11"/>
  <c r="O10"/>
  <c r="S18"/>
  <c r="S11"/>
  <c r="S10"/>
  <c r="W18"/>
  <c r="W11"/>
  <c r="W10"/>
  <c r="AA18"/>
  <c r="AA11"/>
  <c r="AA10"/>
  <c r="AE18"/>
  <c r="AE11"/>
  <c r="AE10"/>
  <c r="AI18"/>
  <c r="AI11"/>
  <c r="AI10"/>
  <c r="N10" i="8"/>
  <c r="AH11"/>
  <c r="F15"/>
  <c r="J15"/>
  <c r="N15"/>
  <c r="R15"/>
  <c r="V15"/>
  <c r="Z15"/>
  <c r="AD15"/>
  <c r="AH15"/>
  <c r="D43" i="9"/>
  <c r="H11" i="11"/>
  <c r="L11"/>
  <c r="P11"/>
  <c r="T11"/>
  <c r="X11"/>
  <c r="AB11"/>
  <c r="AF11"/>
  <c r="C25" i="5"/>
  <c r="C25" i="6" s="1"/>
  <c r="C25" i="7" s="1"/>
  <c r="C25" i="8" s="1"/>
  <c r="C25" i="9" s="1"/>
  <c r="C25" i="10" s="1"/>
  <c r="C25" i="11" s="1"/>
  <c r="C25" i="12" s="1"/>
  <c r="C25" i="13" s="1"/>
  <c r="C6" i="6"/>
  <c r="C6" i="7" s="1"/>
  <c r="C6" i="8" s="1"/>
  <c r="C6" i="9" s="1"/>
  <c r="C6" i="10" s="1"/>
  <c r="C6" i="11" s="1"/>
  <c r="C6" i="12" s="1"/>
  <c r="C6" i="13" s="1"/>
  <c r="F10" i="6"/>
  <c r="J10"/>
  <c r="N10"/>
  <c r="R10"/>
  <c r="V10"/>
  <c r="Z10"/>
  <c r="AD10"/>
  <c r="AH10"/>
  <c r="D36"/>
  <c r="D44" i="7"/>
  <c r="H10" i="8"/>
  <c r="H18"/>
  <c r="L10"/>
  <c r="L11"/>
  <c r="L18"/>
  <c r="P10"/>
  <c r="P11"/>
  <c r="X10"/>
  <c r="X18"/>
  <c r="AB10"/>
  <c r="AB11"/>
  <c r="AB18"/>
  <c r="AF10"/>
  <c r="AF11"/>
  <c r="T18"/>
  <c r="F36" i="9"/>
  <c r="D29"/>
  <c r="D45" i="11"/>
  <c r="D44"/>
  <c r="E18"/>
  <c r="E10"/>
  <c r="D8"/>
  <c r="E11"/>
  <c r="I18"/>
  <c r="I10"/>
  <c r="I11"/>
  <c r="M18"/>
  <c r="M10"/>
  <c r="M11"/>
  <c r="Q18"/>
  <c r="Q10"/>
  <c r="Q11"/>
  <c r="U18"/>
  <c r="U10"/>
  <c r="U11"/>
  <c r="Y18"/>
  <c r="Y10"/>
  <c r="AC18"/>
  <c r="AC10"/>
  <c r="AC11"/>
  <c r="AG18"/>
  <c r="AG10"/>
  <c r="Y11"/>
  <c r="K10" i="8"/>
  <c r="AA10"/>
  <c r="G18"/>
  <c r="W18"/>
  <c r="D36"/>
  <c r="H11" i="10"/>
  <c r="L11"/>
  <c r="P11"/>
  <c r="T11"/>
  <c r="X11"/>
  <c r="AB11"/>
  <c r="AF11"/>
  <c r="F10" i="12"/>
  <c r="F11"/>
  <c r="D5"/>
  <c r="D44" s="1"/>
  <c r="N11"/>
  <c r="N10"/>
  <c r="R10"/>
  <c r="R11"/>
  <c r="V10"/>
  <c r="V11"/>
  <c r="Z10"/>
  <c r="Z11"/>
  <c r="G10" i="8"/>
  <c r="W10"/>
  <c r="S18"/>
  <c r="AI18"/>
  <c r="H11" i="9"/>
  <c r="L11"/>
  <c r="P11"/>
  <c r="T11"/>
  <c r="X11"/>
  <c r="AB11"/>
  <c r="AF11"/>
  <c r="E10" i="10"/>
  <c r="E18"/>
  <c r="D8"/>
  <c r="D18" s="1"/>
  <c r="E11"/>
  <c r="I10"/>
  <c r="I18"/>
  <c r="M10"/>
  <c r="M18"/>
  <c r="M11"/>
  <c r="Q10"/>
  <c r="Q18"/>
  <c r="U10"/>
  <c r="U18"/>
  <c r="U11"/>
  <c r="Y10"/>
  <c r="Y18"/>
  <c r="AC10"/>
  <c r="AC18"/>
  <c r="AC11"/>
  <c r="AG10"/>
  <c r="AG18"/>
  <c r="Y11"/>
  <c r="D43"/>
  <c r="AF15" i="11"/>
  <c r="D18"/>
  <c r="J11" i="12"/>
  <c r="F11" i="9"/>
  <c r="J11"/>
  <c r="N11"/>
  <c r="R11"/>
  <c r="V11"/>
  <c r="Z11"/>
  <c r="AD11"/>
  <c r="AH11"/>
  <c r="D13"/>
  <c r="E15"/>
  <c r="K18" i="11"/>
  <c r="G18" i="9"/>
  <c r="G10"/>
  <c r="K18"/>
  <c r="K10"/>
  <c r="O18"/>
  <c r="O10"/>
  <c r="S18"/>
  <c r="S10"/>
  <c r="W18"/>
  <c r="W10"/>
  <c r="AA18"/>
  <c r="AA10"/>
  <c r="AE18"/>
  <c r="AE10"/>
  <c r="AI18"/>
  <c r="AI10"/>
  <c r="G18" i="10"/>
  <c r="G10"/>
  <c r="K18"/>
  <c r="K10"/>
  <c r="O18"/>
  <c r="O10"/>
  <c r="S18"/>
  <c r="S10"/>
  <c r="W18"/>
  <c r="W10"/>
  <c r="AA18"/>
  <c r="AA10"/>
  <c r="AE18"/>
  <c r="AE10"/>
  <c r="AI18"/>
  <c r="AI10"/>
  <c r="F10"/>
  <c r="N10"/>
  <c r="V10"/>
  <c r="AD10"/>
  <c r="G18" i="11"/>
  <c r="G10"/>
  <c r="O18"/>
  <c r="O10"/>
  <c r="S18"/>
  <c r="S10"/>
  <c r="W18"/>
  <c r="W10"/>
  <c r="AA18"/>
  <c r="AA10"/>
  <c r="AE18"/>
  <c r="AE10"/>
  <c r="AI18"/>
  <c r="AI10"/>
  <c r="F10"/>
  <c r="N10"/>
  <c r="V10"/>
  <c r="AD10"/>
  <c r="L18"/>
  <c r="E11" i="12"/>
  <c r="E10"/>
  <c r="E18"/>
  <c r="D8"/>
  <c r="D18" s="1"/>
  <c r="I11"/>
  <c r="I18"/>
  <c r="I10"/>
  <c r="M11"/>
  <c r="M10"/>
  <c r="M18"/>
  <c r="Q11"/>
  <c r="Q18"/>
  <c r="Q10"/>
  <c r="U11"/>
  <c r="U10"/>
  <c r="U18"/>
  <c r="Y11"/>
  <c r="Y18"/>
  <c r="Y10"/>
  <c r="AC11"/>
  <c r="AC18"/>
  <c r="AG11"/>
  <c r="AG18"/>
  <c r="AG10"/>
  <c r="H15"/>
  <c r="L15"/>
  <c r="P15"/>
  <c r="T15"/>
  <c r="X15"/>
  <c r="AB15"/>
  <c r="AF15"/>
  <c r="H10" i="13"/>
  <c r="H18"/>
  <c r="H11"/>
  <c r="L10"/>
  <c r="L18"/>
  <c r="L11"/>
  <c r="P10"/>
  <c r="P18"/>
  <c r="P11"/>
  <c r="T10"/>
  <c r="T18"/>
  <c r="T11"/>
  <c r="X10"/>
  <c r="X18"/>
  <c r="X11"/>
  <c r="AB10"/>
  <c r="AB18"/>
  <c r="AB11"/>
  <c r="AF10"/>
  <c r="AF18"/>
  <c r="AF11"/>
  <c r="D43" i="11"/>
  <c r="G11" i="12"/>
  <c r="G10"/>
  <c r="K11"/>
  <c r="K10"/>
  <c r="O11"/>
  <c r="O10"/>
  <c r="S11"/>
  <c r="S10"/>
  <c r="W11"/>
  <c r="W10"/>
  <c r="AA11"/>
  <c r="AA10"/>
  <c r="AE10"/>
  <c r="O18"/>
  <c r="AE18"/>
  <c r="F18" i="13"/>
  <c r="F10"/>
  <c r="J18"/>
  <c r="J10"/>
  <c r="N18"/>
  <c r="N10"/>
  <c r="R18"/>
  <c r="R10"/>
  <c r="V18"/>
  <c r="V10"/>
  <c r="Z18"/>
  <c r="Z10"/>
  <c r="AD18"/>
  <c r="AD10"/>
  <c r="AH18"/>
  <c r="AH10"/>
  <c r="J11"/>
  <c r="Z11"/>
  <c r="D36"/>
  <c r="AB10" i="12"/>
  <c r="AB18"/>
  <c r="AF10"/>
  <c r="AF18"/>
  <c r="H11"/>
  <c r="P11"/>
  <c r="X11"/>
  <c r="AF11"/>
  <c r="D5" i="13"/>
  <c r="D44" s="1"/>
  <c r="G11"/>
  <c r="K11"/>
  <c r="O11"/>
  <c r="S11"/>
  <c r="W11"/>
  <c r="AA11"/>
  <c r="AE11"/>
  <c r="AI11"/>
  <c r="AH18" i="12"/>
  <c r="AH10"/>
  <c r="AD10"/>
  <c r="L11"/>
  <c r="T11"/>
  <c r="AB11"/>
  <c r="E11" i="13"/>
  <c r="I11"/>
  <c r="M11"/>
  <c r="Q11"/>
  <c r="U11"/>
  <c r="Y11"/>
  <c r="AC11"/>
  <c r="AG11"/>
  <c r="E10"/>
  <c r="D15" l="1"/>
  <c r="D15" i="12"/>
  <c r="D43"/>
  <c r="D15" i="9"/>
  <c r="D43" i="8"/>
  <c r="D45"/>
  <c r="D15"/>
  <c r="D18" i="7"/>
  <c r="D10"/>
  <c r="D43" i="6"/>
  <c r="C13"/>
  <c r="C13" i="7" s="1"/>
  <c r="C13" i="8" s="1"/>
  <c r="C14" i="6"/>
  <c r="C14" i="7" s="1"/>
  <c r="C14" i="8" s="1"/>
  <c r="C14" i="9" s="1"/>
  <c r="C14" i="10" s="1"/>
  <c r="C14" i="11" s="1"/>
  <c r="C14" i="12" s="1"/>
  <c r="C14" i="13" s="1"/>
  <c r="C15" i="4"/>
  <c r="C15" i="5" s="1"/>
  <c r="C15" i="6" s="1"/>
  <c r="C15" i="7" s="1"/>
  <c r="C42" i="9"/>
  <c r="C42" i="10" s="1"/>
  <c r="C42" i="11" s="1"/>
  <c r="C42" i="12" s="1"/>
  <c r="C42" i="13" s="1"/>
  <c r="C5" i="2"/>
  <c r="C5" i="4" s="1"/>
  <c r="C43" i="1"/>
  <c r="C44"/>
  <c r="D42"/>
  <c r="C42" i="4"/>
  <c r="D44" i="1"/>
  <c r="C42"/>
  <c r="C42" i="2"/>
  <c r="D43" i="1"/>
  <c r="C37" i="6"/>
  <c r="C37" i="7" s="1"/>
  <c r="C35" i="4"/>
  <c r="C36" i="5" s="1"/>
  <c r="C36" i="6" s="1"/>
  <c r="C36" i="7" s="1"/>
  <c r="C36" i="8" s="1"/>
  <c r="D45" i="13"/>
  <c r="D10"/>
  <c r="D43"/>
  <c r="C41" i="9"/>
  <c r="C41" i="10" s="1"/>
  <c r="C41" i="11" s="1"/>
  <c r="C41" i="12" s="1"/>
  <c r="C41" i="13" s="1"/>
  <c r="C41" i="8"/>
  <c r="D11" i="9"/>
  <c r="D10"/>
  <c r="D18"/>
  <c r="C40"/>
  <c r="C40" i="10" s="1"/>
  <c r="C40" i="11" s="1"/>
  <c r="C40" i="12" s="1"/>
  <c r="C40" i="13" s="1"/>
  <c r="C16" i="6"/>
  <c r="C39" i="8"/>
  <c r="D11" i="10"/>
  <c r="D10"/>
  <c r="D10" i="4"/>
  <c r="D11"/>
  <c r="D15" i="11"/>
  <c r="D10" i="2"/>
  <c r="D11"/>
  <c r="D11" i="1"/>
  <c r="D10"/>
  <c r="D17"/>
  <c r="C8"/>
  <c r="D11" i="12"/>
  <c r="D10"/>
  <c r="C29" i="9"/>
  <c r="C29" i="10" s="1"/>
  <c r="C29" i="11" s="1"/>
  <c r="C29" i="12" s="1"/>
  <c r="C29" i="13" s="1"/>
  <c r="C38" i="6"/>
  <c r="D36" i="9"/>
  <c r="D11" i="6"/>
  <c r="D10"/>
  <c r="D10" i="8"/>
  <c r="D11"/>
  <c r="D18"/>
  <c r="D11" i="13"/>
  <c r="C13" i="9"/>
  <c r="C13" i="10" s="1"/>
  <c r="C13" i="11" s="1"/>
  <c r="C13" i="12" s="1"/>
  <c r="C13" i="13" s="1"/>
  <c r="D11" i="11"/>
  <c r="D10"/>
  <c r="D11" i="5"/>
  <c r="D10"/>
  <c r="C35" i="2"/>
  <c r="D45" i="12"/>
  <c r="C15" i="8" l="1"/>
  <c r="C15" i="9" s="1"/>
  <c r="C15" i="10" s="1"/>
  <c r="C15" i="11" s="1"/>
  <c r="C15" i="12" s="1"/>
  <c r="C15" i="13" s="1"/>
  <c r="C5" i="5"/>
  <c r="C44" i="4"/>
  <c r="C43" i="2"/>
  <c r="C43" i="4"/>
  <c r="C44" i="2"/>
  <c r="C38" i="7"/>
  <c r="C11" i="1"/>
  <c r="C17"/>
  <c r="C8" i="2"/>
  <c r="C10" i="1"/>
  <c r="C39" i="9"/>
  <c r="C16" i="7"/>
  <c r="C36" i="9"/>
  <c r="C36" i="10" s="1"/>
  <c r="C36" i="11" s="1"/>
  <c r="C36" i="12" s="1"/>
  <c r="C36" i="13" s="1"/>
  <c r="C37" i="8"/>
  <c r="C44" i="5" l="1"/>
  <c r="C45"/>
  <c r="C43"/>
  <c r="C5" i="6"/>
  <c r="C37" i="9"/>
  <c r="C38" i="8"/>
  <c r="C16"/>
  <c r="C39" i="10"/>
  <c r="C10" i="2"/>
  <c r="C8" i="4"/>
  <c r="C11" i="2"/>
  <c r="C17"/>
  <c r="C5" i="7" l="1"/>
  <c r="C43" i="6"/>
  <c r="C45"/>
  <c r="C44"/>
  <c r="C39" i="11"/>
  <c r="C11" i="4"/>
  <c r="C10"/>
  <c r="C17"/>
  <c r="C8" i="5"/>
  <c r="C16" i="9"/>
  <c r="C37" i="10"/>
  <c r="C38" i="9"/>
  <c r="C5" i="8" l="1"/>
  <c r="C43" i="7"/>
  <c r="C45"/>
  <c r="C44"/>
  <c r="C38" i="10"/>
  <c r="C37" i="11"/>
  <c r="C10" i="5"/>
  <c r="C11"/>
  <c r="C8" i="6"/>
  <c r="C18" i="5"/>
  <c r="C39" i="12"/>
  <c r="C16" i="10"/>
  <c r="C5" i="9" l="1"/>
  <c r="C45" i="8"/>
  <c r="C43"/>
  <c r="C44"/>
  <c r="C16" i="11"/>
  <c r="C37" i="12"/>
  <c r="C10" i="6"/>
  <c r="C11"/>
  <c r="C8" i="7"/>
  <c r="C18" i="6"/>
  <c r="C38" i="11"/>
  <c r="C39" i="13"/>
  <c r="C5" i="10" l="1"/>
  <c r="C45" i="9"/>
  <c r="C43"/>
  <c r="C44"/>
  <c r="C11" i="7"/>
  <c r="C10"/>
  <c r="C8" i="8"/>
  <c r="C18" i="7"/>
  <c r="C38" i="12"/>
  <c r="C16"/>
  <c r="C37" i="13"/>
  <c r="C5" i="11" l="1"/>
  <c r="C45" i="10"/>
  <c r="C43"/>
  <c r="C44"/>
  <c r="C16" i="13"/>
  <c r="C11" i="8"/>
  <c r="C10"/>
  <c r="C8" i="9"/>
  <c r="C18" i="8"/>
  <c r="C38" i="13"/>
  <c r="C5" i="12" l="1"/>
  <c r="C45" i="11"/>
  <c r="C43"/>
  <c r="C44"/>
  <c r="C10" i="9"/>
  <c r="C11"/>
  <c r="C8" i="10"/>
  <c r="C18" i="9"/>
  <c r="C5" i="13" l="1"/>
  <c r="C45" i="12"/>
  <c r="C43"/>
  <c r="C44"/>
  <c r="C10" i="10"/>
  <c r="C11"/>
  <c r="C8" i="11"/>
  <c r="C18" i="10"/>
  <c r="C45" i="13" l="1"/>
  <c r="C43"/>
  <c r="C44"/>
  <c r="C10" i="11"/>
  <c r="C11"/>
  <c r="C8" i="12"/>
  <c r="C18" i="11"/>
  <c r="C11" i="12" l="1"/>
  <c r="C10"/>
  <c r="C8" i="13"/>
  <c r="C18" i="12"/>
  <c r="C11" i="13" l="1"/>
  <c r="C10"/>
  <c r="C18"/>
</calcChain>
</file>

<file path=xl/sharedStrings.xml><?xml version="1.0" encoding="utf-8"?>
<sst xmlns="http://schemas.openxmlformats.org/spreadsheetml/2006/main" count="1005" uniqueCount="81">
  <si>
    <t xml:space="preserve">                                                          中山市天乙能源有限公司生产日报表(三期）</t>
  </si>
  <si>
    <t>项目</t>
  </si>
  <si>
    <t>年累计</t>
  </si>
  <si>
    <t>月累计</t>
  </si>
  <si>
    <t>1日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</si>
  <si>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</si>
  <si>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</si>
  <si>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</si>
  <si>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</si>
  <si>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</si>
  <si>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</si>
  <si>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</si>
  <si>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</si>
  <si>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</si>
  <si>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</si>
  <si>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</si>
  <si>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</si>
  <si>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</si>
  <si>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</si>
  <si>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</si>
  <si>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</si>
  <si>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</si>
  <si>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</si>
  <si>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</si>
  <si>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</si>
  <si>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</si>
  <si>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</si>
  <si>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</si>
  <si>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</si>
  <si>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</si>
  <si>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</si>
  <si>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</si>
  <si>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</si>
  <si>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</si>
  <si>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</si>
  <si>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垃圾处
理量
（吨）</t>
  </si>
  <si>
    <t>#3炉</t>
  </si>
  <si>
    <t>#4炉</t>
  </si>
  <si>
    <t>全厂</t>
  </si>
  <si>
    <t>发电
量（度）</t>
  </si>
  <si>
    <t>#3机</t>
  </si>
  <si>
    <t>#4机</t>
  </si>
  <si>
    <t>供电量（度）</t>
  </si>
  <si>
    <t>吨垃圾发电量(度/吨)</t>
  </si>
  <si>
    <t>吨垃圾上网电量(度/吨)</t>
  </si>
  <si>
    <t>进场垃圾量（吨）</t>
  </si>
  <si>
    <t>主蒸汽流量（t/d）</t>
  </si>
  <si>
    <t>全厂用电量（度）</t>
  </si>
  <si>
    <t>综合厂用电率（%）</t>
  </si>
  <si>
    <t>本日库存</t>
  </si>
  <si>
    <t>垃圾进
厂量</t>
  </si>
  <si>
    <t>东凤</t>
  </si>
  <si>
    <t>阜沙</t>
  </si>
  <si>
    <t>古镇</t>
  </si>
  <si>
    <t>东升</t>
  </si>
  <si>
    <t>港口</t>
  </si>
  <si>
    <t>横栏</t>
  </si>
  <si>
    <t>黄圃</t>
  </si>
  <si>
    <t>南区</t>
  </si>
  <si>
    <t>南头</t>
  </si>
  <si>
    <t>三角</t>
  </si>
  <si>
    <t>小榄</t>
  </si>
  <si>
    <t>固体废物</t>
  </si>
  <si>
    <t>沙溪</t>
  </si>
  <si>
    <t>销毁物品</t>
  </si>
  <si>
    <t>合计</t>
  </si>
  <si>
    <t>炉渣</t>
  </si>
  <si>
    <t>飞灰</t>
  </si>
  <si>
    <t>废弃物</t>
  </si>
  <si>
    <t>渗滤液外排量（吨）</t>
  </si>
  <si>
    <t>耗材处理（吨)</t>
  </si>
  <si>
    <t>氨水</t>
  </si>
  <si>
    <t>石灰</t>
  </si>
  <si>
    <t>活性炭</t>
  </si>
  <si>
    <t>炉渣产生比率</t>
  </si>
  <si>
    <t>飞灰产生比率</t>
  </si>
  <si>
    <t>渗滤液产生比率</t>
  </si>
  <si>
    <t>渗滤液处理厂</t>
  </si>
  <si>
    <t>黄圃1</t>
  </si>
  <si>
    <t>阜沙1</t>
  </si>
  <si>
    <t>朗坤（有机垃圾分选杂质和沼渣）</t>
    <phoneticPr fontId="11" type="noConversion"/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</si>
</sst>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76" formatCode="#,##0_);[Red]\(#,##0\)"/>
    <numFmt numFmtId="177" formatCode="0.00_ "/>
    <numFmt numFmtId="178" formatCode="0.000_);[Red]\(0.000\)"/>
    <numFmt numFmtId="179" formatCode="0.0000_);[Red]\(0.0000\)"/>
    <numFmt numFmtId="180" formatCode="0_ "/>
    <numFmt numFmtId="181" formatCode="0.000"/>
    <numFmt numFmtId="182" formatCode="0.00_);[Red]\(0.00\)"/>
  </numFmts>
  <fonts count="12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0" borderId="0"/>
    <xf numFmtId="0" fontId="10" fillId="0" borderId="0"/>
    <xf numFmtId="0" fontId="9" fillId="0" borderId="0"/>
    <xf numFmtId="0" fontId="9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5" fillId="0" borderId="2" xfId="1" applyNumberFormat="1" applyFont="1" applyFill="1" applyBorder="1" applyAlignment="1">
      <alignment horizontal="center" vertical="center" wrapText="1"/>
    </xf>
    <xf numFmtId="0" fontId="5" fillId="0" borderId="2" xfId="4" applyNumberFormat="1" applyFont="1" applyFill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10" fontId="6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10" fontId="6" fillId="0" borderId="9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3" fillId="0" borderId="2" xfId="5" applyNumberFormat="1" applyFont="1" applyFill="1" applyBorder="1" applyAlignment="1" applyProtection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/>
    </xf>
    <xf numFmtId="179" fontId="8" fillId="0" borderId="2" xfId="0" applyNumberFormat="1" applyFont="1" applyBorder="1" applyAlignment="1">
      <alignment horizontal="center" vertical="center"/>
    </xf>
    <xf numFmtId="179" fontId="8" fillId="0" borderId="2" xfId="0" applyNumberFormat="1" applyFont="1" applyBorder="1" applyAlignment="1">
      <alignment horizontal="center"/>
    </xf>
    <xf numFmtId="178" fontId="5" fillId="0" borderId="2" xfId="0" applyNumberFormat="1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/>
    </xf>
    <xf numFmtId="180" fontId="3" fillId="0" borderId="2" xfId="0" applyNumberFormat="1" applyFont="1" applyFill="1" applyBorder="1" applyAlignment="1">
      <alignment horizontal="center" vertical="center"/>
    </xf>
    <xf numFmtId="181" fontId="8" fillId="0" borderId="2" xfId="0" applyNumberFormat="1" applyFont="1" applyBorder="1" applyAlignment="1">
      <alignment horizontal="center"/>
    </xf>
    <xf numFmtId="181" fontId="8" fillId="0" borderId="2" xfId="0" applyNumberFormat="1" applyFont="1" applyBorder="1" applyAlignment="1">
      <alignment horizontal="center" vertical="center"/>
    </xf>
    <xf numFmtId="178" fontId="0" fillId="0" borderId="2" xfId="0" applyNumberFormat="1" applyFont="1" applyBorder="1" applyAlignment="1">
      <alignment horizontal="center" vertical="center"/>
    </xf>
    <xf numFmtId="182" fontId="0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178" fontId="0" fillId="0" borderId="2" xfId="0" applyNumberFormat="1" applyFont="1" applyBorder="1" applyAlignment="1">
      <alignment horizontal="center"/>
    </xf>
    <xf numFmtId="182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82" fontId="8" fillId="0" borderId="2" xfId="0" applyNumberFormat="1" applyFont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5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</cellXfs>
  <cellStyles count="6">
    <cellStyle name="常规" xfId="0" builtinId="0"/>
    <cellStyle name="常规 2" xfId="3"/>
    <cellStyle name="常规_垃圾进场量7月份（内部）_12月份" xfId="4"/>
    <cellStyle name="常规_生产日报2011.6月" xfId="2"/>
    <cellStyle name="常规_天乙生产日报表2011.11月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67"/>
  <sheetViews>
    <sheetView topLeftCell="A13" workbookViewId="0">
      <pane xSplit="4" topLeftCell="S1" activePane="topRight" state="frozen"/>
      <selection pane="topRight" activeCell="A19" sqref="A19:A35"/>
    </sheetView>
  </sheetViews>
  <sheetFormatPr defaultColWidth="9" defaultRowHeight="13.5"/>
  <cols>
    <col min="1" max="1" width="8.75" style="4" customWidth="1"/>
    <col min="2" max="2" width="13.625" style="4" customWidth="1"/>
    <col min="3" max="3" width="11.875" style="4" customWidth="1"/>
    <col min="4" max="4" width="10.5" style="4" customWidth="1"/>
    <col min="5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7">
        <v>44197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D3+0</f>
        <v>14326.1</v>
      </c>
      <c r="D3" s="7">
        <f t="shared" ref="D3:D9" si="0">SUM(E3:AI3)</f>
        <v>14326.1</v>
      </c>
      <c r="E3" s="7">
        <v>650.70000000000005</v>
      </c>
      <c r="F3" s="7">
        <v>655.8</v>
      </c>
      <c r="G3" s="7">
        <v>641.9</v>
      </c>
      <c r="H3" s="7">
        <v>601.20000000000005</v>
      </c>
      <c r="I3" s="7">
        <v>636.4</v>
      </c>
      <c r="J3" s="7">
        <v>631.4</v>
      </c>
      <c r="K3" s="7">
        <v>614.29999999999995</v>
      </c>
      <c r="L3" s="7">
        <v>704.8</v>
      </c>
      <c r="M3" s="7">
        <v>685.3</v>
      </c>
      <c r="N3" s="7">
        <v>649.4</v>
      </c>
      <c r="O3" s="7">
        <v>631.9</v>
      </c>
      <c r="P3" s="7">
        <v>625.6</v>
      </c>
      <c r="Q3" s="7">
        <v>598</v>
      </c>
      <c r="R3" s="7">
        <v>324.10000000000002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548.70000000000005</v>
      </c>
      <c r="AB3" s="7">
        <v>607.6</v>
      </c>
      <c r="AC3" s="7">
        <v>642.9</v>
      </c>
      <c r="AD3" s="7">
        <v>683</v>
      </c>
      <c r="AE3" s="7">
        <v>662.7</v>
      </c>
      <c r="AF3" s="7">
        <v>646.4</v>
      </c>
      <c r="AG3" s="7">
        <v>646.29999999999995</v>
      </c>
      <c r="AH3" s="7">
        <v>627.4</v>
      </c>
      <c r="AI3" s="29">
        <v>610.29999999999995</v>
      </c>
    </row>
    <row r="4" spans="1:35" s="3" customFormat="1" ht="26.25" customHeight="1">
      <c r="A4" s="51"/>
      <c r="B4" s="7" t="s">
        <v>37</v>
      </c>
      <c r="C4" s="7">
        <f>D4+0</f>
        <v>20341.599999999995</v>
      </c>
      <c r="D4" s="7">
        <f t="shared" si="0"/>
        <v>20341.599999999995</v>
      </c>
      <c r="E4" s="7">
        <v>665.8</v>
      </c>
      <c r="F4" s="7">
        <v>681.8</v>
      </c>
      <c r="G4" s="7">
        <v>690</v>
      </c>
      <c r="H4" s="7">
        <v>633.29999999999995</v>
      </c>
      <c r="I4" s="7">
        <v>668.4</v>
      </c>
      <c r="J4" s="7">
        <v>655.6</v>
      </c>
      <c r="K4" s="7">
        <v>638.29999999999995</v>
      </c>
      <c r="L4" s="7">
        <v>712.7</v>
      </c>
      <c r="M4" s="7">
        <v>695</v>
      </c>
      <c r="N4" s="7">
        <v>685.8</v>
      </c>
      <c r="O4" s="7">
        <v>619.70000000000005</v>
      </c>
      <c r="P4" s="7">
        <v>652.79999999999995</v>
      </c>
      <c r="Q4" s="7">
        <v>615.20000000000005</v>
      </c>
      <c r="R4" s="7">
        <v>613.29999999999995</v>
      </c>
      <c r="S4" s="7">
        <v>611.20000000000005</v>
      </c>
      <c r="T4" s="7">
        <v>681.7</v>
      </c>
      <c r="U4" s="7">
        <v>673</v>
      </c>
      <c r="V4" s="7">
        <v>689</v>
      </c>
      <c r="W4" s="7">
        <v>657.9</v>
      </c>
      <c r="X4" s="7">
        <v>658.5</v>
      </c>
      <c r="Y4" s="7">
        <v>663.5</v>
      </c>
      <c r="Z4" s="7">
        <v>644.5</v>
      </c>
      <c r="AA4" s="7">
        <v>647.1</v>
      </c>
      <c r="AB4" s="7">
        <v>609.4</v>
      </c>
      <c r="AC4" s="7">
        <v>626.1</v>
      </c>
      <c r="AD4" s="7">
        <v>684.5</v>
      </c>
      <c r="AE4" s="7">
        <v>647.1</v>
      </c>
      <c r="AF4" s="7">
        <v>685</v>
      </c>
      <c r="AG4" s="29">
        <v>644</v>
      </c>
      <c r="AH4" s="7">
        <v>664.1</v>
      </c>
      <c r="AI4" s="7">
        <v>627.29999999999995</v>
      </c>
    </row>
    <row r="5" spans="1:35" s="3" customFormat="1" ht="24.95" customHeight="1">
      <c r="A5" s="51"/>
      <c r="B5" s="7" t="s">
        <v>38</v>
      </c>
      <c r="C5" s="7">
        <f>D5+0</f>
        <v>34667.700000000004</v>
      </c>
      <c r="D5" s="7">
        <f t="shared" si="0"/>
        <v>34667.700000000004</v>
      </c>
      <c r="E5" s="7">
        <f>SUM(E3:E4)</f>
        <v>1316.5</v>
      </c>
      <c r="F5" s="7">
        <f t="shared" ref="F5:AI5" si="1">SUM(F3:F4)</f>
        <v>1337.6</v>
      </c>
      <c r="G5" s="7">
        <f t="shared" si="1"/>
        <v>1331.9</v>
      </c>
      <c r="H5" s="7">
        <f t="shared" si="1"/>
        <v>1234.5</v>
      </c>
      <c r="I5" s="7">
        <f t="shared" si="1"/>
        <v>1304.8</v>
      </c>
      <c r="J5" s="7">
        <f t="shared" si="1"/>
        <v>1287</v>
      </c>
      <c r="K5" s="7">
        <f t="shared" si="1"/>
        <v>1252.5999999999999</v>
      </c>
      <c r="L5" s="7">
        <f t="shared" si="1"/>
        <v>1417.5</v>
      </c>
      <c r="M5" s="7">
        <f t="shared" si="1"/>
        <v>1380.3</v>
      </c>
      <c r="N5" s="7">
        <f t="shared" si="1"/>
        <v>1335.1999999999998</v>
      </c>
      <c r="O5" s="7">
        <f t="shared" si="1"/>
        <v>1251.5999999999999</v>
      </c>
      <c r="P5" s="7">
        <f t="shared" si="1"/>
        <v>1278.4000000000001</v>
      </c>
      <c r="Q5" s="7">
        <f t="shared" si="1"/>
        <v>1213.2</v>
      </c>
      <c r="R5" s="7">
        <f t="shared" si="1"/>
        <v>937.4</v>
      </c>
      <c r="S5" s="7">
        <f t="shared" si="1"/>
        <v>611.20000000000005</v>
      </c>
      <c r="T5" s="7">
        <f t="shared" si="1"/>
        <v>681.7</v>
      </c>
      <c r="U5" s="7">
        <f t="shared" si="1"/>
        <v>673</v>
      </c>
      <c r="V5" s="7">
        <f t="shared" si="1"/>
        <v>689</v>
      </c>
      <c r="W5" s="7">
        <f t="shared" si="1"/>
        <v>657.9</v>
      </c>
      <c r="X5" s="7">
        <f t="shared" si="1"/>
        <v>658.5</v>
      </c>
      <c r="Y5" s="7">
        <f t="shared" si="1"/>
        <v>663.5</v>
      </c>
      <c r="Z5" s="7">
        <f t="shared" si="1"/>
        <v>644.5</v>
      </c>
      <c r="AA5" s="7">
        <f t="shared" si="1"/>
        <v>1195.8000000000002</v>
      </c>
      <c r="AB5" s="7">
        <f t="shared" si="1"/>
        <v>1217</v>
      </c>
      <c r="AC5" s="7">
        <f t="shared" si="1"/>
        <v>1269</v>
      </c>
      <c r="AD5" s="7">
        <f t="shared" si="1"/>
        <v>1367.5</v>
      </c>
      <c r="AE5" s="7">
        <f t="shared" si="1"/>
        <v>1309.8000000000002</v>
      </c>
      <c r="AF5" s="7">
        <f t="shared" si="1"/>
        <v>1331.4</v>
      </c>
      <c r="AG5" s="7">
        <f t="shared" ref="AG5" si="2">SUM(AG3:AG4)</f>
        <v>1290.3</v>
      </c>
      <c r="AH5" s="7">
        <f t="shared" ref="AH5" si="3">SUM(AH3:AH4)</f>
        <v>1291.5</v>
      </c>
      <c r="AI5" s="7">
        <f t="shared" si="1"/>
        <v>1237.5999999999999</v>
      </c>
    </row>
    <row r="6" spans="1:35" s="3" customFormat="1" ht="24.95" customHeight="1">
      <c r="A6" s="51" t="s">
        <v>39</v>
      </c>
      <c r="B6" s="7" t="s">
        <v>40</v>
      </c>
      <c r="C6" s="7">
        <f t="shared" ref="C6:C9" si="4">D6+0</f>
        <v>7812000</v>
      </c>
      <c r="D6" s="7">
        <f t="shared" si="0"/>
        <v>7812000</v>
      </c>
      <c r="E6" s="7">
        <v>350000</v>
      </c>
      <c r="F6" s="7">
        <v>352000</v>
      </c>
      <c r="G6" s="7">
        <v>364000</v>
      </c>
      <c r="H6" s="7">
        <v>350000</v>
      </c>
      <c r="I6" s="7">
        <v>362000</v>
      </c>
      <c r="J6" s="7">
        <v>356000</v>
      </c>
      <c r="K6" s="7">
        <v>358000</v>
      </c>
      <c r="L6" s="7">
        <v>362000</v>
      </c>
      <c r="M6" s="7">
        <v>358000</v>
      </c>
      <c r="N6" s="7">
        <v>354000</v>
      </c>
      <c r="O6" s="7">
        <v>344000</v>
      </c>
      <c r="P6" s="26">
        <v>342000</v>
      </c>
      <c r="Q6" s="7">
        <v>324000</v>
      </c>
      <c r="R6" s="7">
        <v>230000</v>
      </c>
      <c r="S6" s="7">
        <v>0</v>
      </c>
      <c r="T6" s="7">
        <v>0</v>
      </c>
      <c r="U6" s="26">
        <v>0</v>
      </c>
      <c r="V6" s="7">
        <v>0</v>
      </c>
      <c r="W6" s="7">
        <v>0</v>
      </c>
      <c r="X6" s="7">
        <v>0</v>
      </c>
      <c r="Y6" s="7">
        <v>0</v>
      </c>
      <c r="Z6" s="7">
        <v>42000</v>
      </c>
      <c r="AA6" s="7">
        <v>284000</v>
      </c>
      <c r="AB6" s="7">
        <v>322000</v>
      </c>
      <c r="AC6" s="7">
        <v>346000</v>
      </c>
      <c r="AD6" s="7">
        <v>338000</v>
      </c>
      <c r="AE6" s="7">
        <v>332000</v>
      </c>
      <c r="AF6" s="7">
        <v>340000</v>
      </c>
      <c r="AG6" s="7">
        <v>340000</v>
      </c>
      <c r="AH6" s="7">
        <v>332000</v>
      </c>
      <c r="AI6" s="7">
        <v>330000</v>
      </c>
    </row>
    <row r="7" spans="1:35" s="3" customFormat="1" ht="24.95" customHeight="1">
      <c r="A7" s="51"/>
      <c r="B7" s="7" t="s">
        <v>41</v>
      </c>
      <c r="C7" s="7">
        <f t="shared" si="4"/>
        <v>10754000</v>
      </c>
      <c r="D7" s="27">
        <f t="shared" si="0"/>
        <v>10754000</v>
      </c>
      <c r="E7" s="7">
        <v>358000</v>
      </c>
      <c r="F7" s="7">
        <v>358000</v>
      </c>
      <c r="G7" s="7">
        <v>356000</v>
      </c>
      <c r="H7" s="7">
        <v>362000</v>
      </c>
      <c r="I7" s="7">
        <v>360000</v>
      </c>
      <c r="J7" s="7">
        <v>358000</v>
      </c>
      <c r="K7" s="7">
        <v>358000</v>
      </c>
      <c r="L7" s="7">
        <v>354000</v>
      </c>
      <c r="M7" s="7">
        <v>350000</v>
      </c>
      <c r="N7" s="7">
        <v>344000</v>
      </c>
      <c r="O7" s="7">
        <v>336000</v>
      </c>
      <c r="P7" s="26">
        <v>344000</v>
      </c>
      <c r="Q7" s="7">
        <v>342000</v>
      </c>
      <c r="R7" s="7">
        <v>334000</v>
      </c>
      <c r="S7" s="7">
        <v>338000</v>
      </c>
      <c r="T7" s="7">
        <v>336000</v>
      </c>
      <c r="U7" s="7">
        <v>336000</v>
      </c>
      <c r="V7" s="7">
        <v>340000</v>
      </c>
      <c r="W7" s="7">
        <v>334000</v>
      </c>
      <c r="X7" s="7">
        <v>328000</v>
      </c>
      <c r="Y7" s="7">
        <v>332000</v>
      </c>
      <c r="Z7" s="7">
        <v>276000</v>
      </c>
      <c r="AA7" s="7">
        <v>318000</v>
      </c>
      <c r="AB7" s="7">
        <v>366000</v>
      </c>
      <c r="AC7" s="7">
        <v>364000</v>
      </c>
      <c r="AD7" s="7">
        <v>368000</v>
      </c>
      <c r="AE7" s="7">
        <v>370000</v>
      </c>
      <c r="AF7" s="7">
        <v>360000</v>
      </c>
      <c r="AG7" s="7">
        <v>356000</v>
      </c>
      <c r="AH7" s="7">
        <v>356000</v>
      </c>
      <c r="AI7" s="26">
        <v>362000</v>
      </c>
    </row>
    <row r="8" spans="1:35" s="3" customFormat="1" ht="24.95" customHeight="1">
      <c r="A8" s="51"/>
      <c r="B8" s="7" t="s">
        <v>38</v>
      </c>
      <c r="C8" s="7">
        <f t="shared" si="4"/>
        <v>18566000</v>
      </c>
      <c r="D8" s="7">
        <f t="shared" si="0"/>
        <v>18566000</v>
      </c>
      <c r="E8" s="7">
        <f t="shared" ref="E8:S8" si="5">SUM(E6:E7)</f>
        <v>708000</v>
      </c>
      <c r="F8" s="7">
        <f t="shared" si="5"/>
        <v>710000</v>
      </c>
      <c r="G8" s="7">
        <f t="shared" si="5"/>
        <v>720000</v>
      </c>
      <c r="H8" s="7">
        <f t="shared" si="5"/>
        <v>712000</v>
      </c>
      <c r="I8" s="7">
        <f t="shared" si="5"/>
        <v>722000</v>
      </c>
      <c r="J8" s="7">
        <f t="shared" si="5"/>
        <v>714000</v>
      </c>
      <c r="K8" s="7">
        <f t="shared" si="5"/>
        <v>716000</v>
      </c>
      <c r="L8" s="7">
        <f t="shared" si="5"/>
        <v>716000</v>
      </c>
      <c r="M8" s="7">
        <f t="shared" si="5"/>
        <v>708000</v>
      </c>
      <c r="N8" s="7">
        <f t="shared" si="5"/>
        <v>698000</v>
      </c>
      <c r="O8" s="7">
        <f t="shared" si="5"/>
        <v>680000</v>
      </c>
      <c r="P8" s="7">
        <f t="shared" si="5"/>
        <v>686000</v>
      </c>
      <c r="Q8" s="7">
        <f t="shared" si="5"/>
        <v>666000</v>
      </c>
      <c r="R8" s="7">
        <f t="shared" si="5"/>
        <v>564000</v>
      </c>
      <c r="S8" s="7">
        <f t="shared" si="5"/>
        <v>338000</v>
      </c>
      <c r="T8" s="7">
        <f t="shared" ref="T8:AI8" si="6">SUM(T6:T7)</f>
        <v>336000</v>
      </c>
      <c r="U8" s="7">
        <f t="shared" si="6"/>
        <v>336000</v>
      </c>
      <c r="V8" s="7">
        <f t="shared" si="6"/>
        <v>340000</v>
      </c>
      <c r="W8" s="7">
        <f t="shared" si="6"/>
        <v>334000</v>
      </c>
      <c r="X8" s="7">
        <f t="shared" si="6"/>
        <v>328000</v>
      </c>
      <c r="Y8" s="7">
        <f t="shared" si="6"/>
        <v>332000</v>
      </c>
      <c r="Z8" s="7">
        <f t="shared" si="6"/>
        <v>318000</v>
      </c>
      <c r="AA8" s="7">
        <f t="shared" si="6"/>
        <v>602000</v>
      </c>
      <c r="AB8" s="7">
        <f t="shared" si="6"/>
        <v>688000</v>
      </c>
      <c r="AC8" s="7">
        <f t="shared" si="6"/>
        <v>710000</v>
      </c>
      <c r="AD8" s="7">
        <f t="shared" si="6"/>
        <v>706000</v>
      </c>
      <c r="AE8" s="7">
        <f t="shared" si="6"/>
        <v>702000</v>
      </c>
      <c r="AF8" s="7">
        <f t="shared" si="6"/>
        <v>700000</v>
      </c>
      <c r="AG8" s="7">
        <f t="shared" ref="AG8" si="7">SUM(AG6:AG7)</f>
        <v>696000</v>
      </c>
      <c r="AH8" s="7">
        <f t="shared" ref="AH8" si="8">SUM(AH6:AH7)</f>
        <v>688000</v>
      </c>
      <c r="AI8" s="7">
        <f t="shared" si="6"/>
        <v>692000</v>
      </c>
    </row>
    <row r="9" spans="1:35" s="3" customFormat="1" ht="24.95" customHeight="1">
      <c r="A9" s="51" t="s">
        <v>42</v>
      </c>
      <c r="B9" s="7" t="s">
        <v>38</v>
      </c>
      <c r="C9" s="7">
        <f t="shared" si="4"/>
        <v>16060000</v>
      </c>
      <c r="D9" s="7">
        <f t="shared" si="0"/>
        <v>16060000</v>
      </c>
      <c r="E9" s="7">
        <v>616000</v>
      </c>
      <c r="F9" s="7">
        <v>620000</v>
      </c>
      <c r="G9" s="7">
        <v>626000</v>
      </c>
      <c r="H9" s="7">
        <v>622000</v>
      </c>
      <c r="I9" s="7">
        <v>630000</v>
      </c>
      <c r="J9" s="7">
        <v>622000</v>
      </c>
      <c r="K9" s="7">
        <v>624000</v>
      </c>
      <c r="L9" s="7">
        <v>626000</v>
      </c>
      <c r="M9" s="7">
        <v>618000</v>
      </c>
      <c r="N9" s="7">
        <v>608000</v>
      </c>
      <c r="O9" s="7">
        <v>594000</v>
      </c>
      <c r="P9" s="7">
        <v>598000</v>
      </c>
      <c r="Q9" s="7">
        <v>580000</v>
      </c>
      <c r="R9" s="7">
        <v>484000</v>
      </c>
      <c r="S9" s="7">
        <v>278000</v>
      </c>
      <c r="T9" s="7">
        <v>278000</v>
      </c>
      <c r="U9" s="7">
        <v>276000</v>
      </c>
      <c r="V9" s="7">
        <v>282000</v>
      </c>
      <c r="W9" s="7">
        <v>278000</v>
      </c>
      <c r="X9" s="7">
        <v>270000</v>
      </c>
      <c r="Y9" s="7">
        <v>272000</v>
      </c>
      <c r="Z9" s="7">
        <v>258000</v>
      </c>
      <c r="AA9" s="7">
        <v>520000</v>
      </c>
      <c r="AB9" s="7">
        <v>602000</v>
      </c>
      <c r="AC9" s="7">
        <v>618000</v>
      </c>
      <c r="AD9" s="7">
        <v>620000</v>
      </c>
      <c r="AE9" s="7">
        <v>612000</v>
      </c>
      <c r="AF9" s="7">
        <v>612000</v>
      </c>
      <c r="AG9" s="7">
        <v>610000</v>
      </c>
      <c r="AH9" s="7">
        <v>600000</v>
      </c>
      <c r="AI9" s="7">
        <v>606000</v>
      </c>
    </row>
    <row r="10" spans="1:35" s="3" customFormat="1" ht="24.95" customHeight="1">
      <c r="A10" s="51"/>
      <c r="B10" s="6" t="s">
        <v>43</v>
      </c>
      <c r="C10" s="8">
        <f>C8/C5</f>
        <v>535.54172904461495</v>
      </c>
      <c r="D10" s="8">
        <f>D8/D5</f>
        <v>535.54172904461495</v>
      </c>
      <c r="E10" s="8">
        <f t="shared" ref="E10:AI10" si="9">SUM(E8/E5)</f>
        <v>537.78959361944555</v>
      </c>
      <c r="F10" s="8">
        <f t="shared" si="9"/>
        <v>530.8014354066986</v>
      </c>
      <c r="G10" s="8">
        <f t="shared" si="9"/>
        <v>540.58112470906224</v>
      </c>
      <c r="H10" s="8">
        <f t="shared" si="9"/>
        <v>576.75172134467391</v>
      </c>
      <c r="I10" s="8">
        <f t="shared" si="9"/>
        <v>553.34150827713063</v>
      </c>
      <c r="J10" s="8">
        <f t="shared" si="9"/>
        <v>554.77855477855474</v>
      </c>
      <c r="K10" s="8">
        <f t="shared" si="9"/>
        <v>571.61104901804254</v>
      </c>
      <c r="L10" s="8">
        <f t="shared" si="9"/>
        <v>505.1146384479718</v>
      </c>
      <c r="M10" s="8">
        <f t="shared" si="9"/>
        <v>512.93197131058469</v>
      </c>
      <c r="N10" s="8">
        <f t="shared" si="9"/>
        <v>522.76812462552437</v>
      </c>
      <c r="O10" s="8">
        <f t="shared" si="9"/>
        <v>543.30457015020772</v>
      </c>
      <c r="P10" s="8">
        <f t="shared" si="9"/>
        <v>536.60826032540672</v>
      </c>
      <c r="Q10" s="8">
        <f t="shared" si="9"/>
        <v>548.96142433234422</v>
      </c>
      <c r="R10" s="8">
        <f t="shared" si="9"/>
        <v>601.664177512268</v>
      </c>
      <c r="S10" s="8">
        <f t="shared" si="9"/>
        <v>553.01047120418843</v>
      </c>
      <c r="T10" s="8">
        <f t="shared" si="9"/>
        <v>492.88543347513564</v>
      </c>
      <c r="U10" s="8">
        <f t="shared" si="9"/>
        <v>499.25705794947993</v>
      </c>
      <c r="V10" s="8">
        <f t="shared" si="9"/>
        <v>493.46879535558782</v>
      </c>
      <c r="W10" s="8">
        <f t="shared" si="9"/>
        <v>507.67593859249126</v>
      </c>
      <c r="X10" s="8">
        <f t="shared" si="9"/>
        <v>498.10174639331814</v>
      </c>
      <c r="Y10" s="8">
        <f t="shared" si="9"/>
        <v>500.37678975131877</v>
      </c>
      <c r="Z10" s="8">
        <f t="shared" si="9"/>
        <v>493.4057408844065</v>
      </c>
      <c r="AA10" s="8">
        <f t="shared" si="9"/>
        <v>503.42866700117071</v>
      </c>
      <c r="AB10" s="8">
        <f t="shared" si="9"/>
        <v>565.32456861133937</v>
      </c>
      <c r="AC10" s="8">
        <f t="shared" si="9"/>
        <v>559.49566587864456</v>
      </c>
      <c r="AD10" s="8">
        <f t="shared" si="9"/>
        <v>516.27056672760511</v>
      </c>
      <c r="AE10" s="8">
        <f t="shared" si="9"/>
        <v>535.95968850206134</v>
      </c>
      <c r="AF10" s="8">
        <f t="shared" si="9"/>
        <v>525.7623554153522</v>
      </c>
      <c r="AG10" s="8">
        <f t="shared" si="9"/>
        <v>539.40943966519421</v>
      </c>
      <c r="AH10" s="8">
        <f t="shared" si="9"/>
        <v>532.71389856755707</v>
      </c>
      <c r="AI10" s="8">
        <f t="shared" si="9"/>
        <v>559.14673561732388</v>
      </c>
    </row>
    <row r="11" spans="1:35" s="3" customFormat="1" ht="24.95" customHeight="1">
      <c r="A11" s="51"/>
      <c r="B11" s="9" t="s">
        <v>44</v>
      </c>
      <c r="C11" s="8">
        <f>(C8-C16)/C5</f>
        <v>463.25542219414609</v>
      </c>
      <c r="D11" s="8">
        <f>(D8-D16)/D5</f>
        <v>463.25542219414609</v>
      </c>
      <c r="E11" s="8">
        <f>SUM(E9/E5)</f>
        <v>467.90733004177741</v>
      </c>
      <c r="F11" s="8">
        <f>SUM(F9/F5)</f>
        <v>463.51674641148327</v>
      </c>
      <c r="G11" s="8">
        <f>SUM(G9/G5)</f>
        <v>470.00525564982354</v>
      </c>
      <c r="H11" s="8">
        <f>SUM(H9/H5)</f>
        <v>503.84771162413932</v>
      </c>
      <c r="I11" s="8">
        <f>SUM(I9/I5)</f>
        <v>482.83261802575112</v>
      </c>
      <c r="J11" s="8">
        <f>SUM(J9/J5)</f>
        <v>483.29448329448331</v>
      </c>
      <c r="K11" s="8">
        <f>SUM(K9/K5)</f>
        <v>498.16381925594766</v>
      </c>
      <c r="L11" s="8">
        <f>SUM(L9/L5)</f>
        <v>441.62257495590831</v>
      </c>
      <c r="M11" s="8">
        <f>SUM(M9/M5)</f>
        <v>447.7287546185612</v>
      </c>
      <c r="N11" s="8">
        <f>SUM(N9/N5)</f>
        <v>455.36249251048537</v>
      </c>
      <c r="O11" s="8">
        <f>SUM(O9/O5)</f>
        <v>474.5925215723874</v>
      </c>
      <c r="P11" s="8">
        <f>SUM(P9/P5)</f>
        <v>467.7722152690863</v>
      </c>
      <c r="Q11" s="8">
        <f>SUM(Q9/Q5)</f>
        <v>478.07451368282227</v>
      </c>
      <c r="R11" s="8">
        <f>SUM(R9/R5)</f>
        <v>516.32174098570511</v>
      </c>
      <c r="S11" s="8">
        <f>SUM(S9/S5)</f>
        <v>454.84293193717275</v>
      </c>
      <c r="T11" s="8">
        <f>SUM(T9/T5)</f>
        <v>407.8040193633563</v>
      </c>
      <c r="U11" s="8">
        <f>SUM(U9/U5)</f>
        <v>410.10401188707283</v>
      </c>
      <c r="V11" s="8">
        <f>SUM(V9/V5)</f>
        <v>409.28882438316401</v>
      </c>
      <c r="W11" s="8">
        <f>SUM(W9/W5)</f>
        <v>422.55661954704362</v>
      </c>
      <c r="X11" s="8">
        <f>SUM(X9/X5)</f>
        <v>410.0227790432802</v>
      </c>
      <c r="Y11" s="8">
        <f>SUM(Y9/Y5)</f>
        <v>409.94724943481538</v>
      </c>
      <c r="Z11" s="8">
        <f>SUM(Z9/Z5)</f>
        <v>400.31031807602795</v>
      </c>
      <c r="AA11" s="8">
        <f>SUM(AA9/AA5)</f>
        <v>434.8553269777554</v>
      </c>
      <c r="AB11" s="8">
        <f>SUM(AB9/AB5)</f>
        <v>494.65899753492192</v>
      </c>
      <c r="AC11" s="8">
        <f>SUM(AC9/AC5)</f>
        <v>486.99763593380612</v>
      </c>
      <c r="AD11" s="8">
        <f>SUM(AD9/AD5)</f>
        <v>453.38208409506399</v>
      </c>
      <c r="AE11" s="8">
        <f>SUM(AE9/AE5)</f>
        <v>467.24690792487394</v>
      </c>
      <c r="AF11" s="8">
        <f>SUM(AF9/AF5)</f>
        <v>459.66651644885081</v>
      </c>
      <c r="AG11" s="8">
        <f>SUM(AG9/AG5)</f>
        <v>472.75827326978225</v>
      </c>
      <c r="AH11" s="8">
        <f>SUM(AH9/AH5)</f>
        <v>464.57607433217191</v>
      </c>
      <c r="AI11" s="8">
        <f>SUM(AI9/AI5)</f>
        <v>489.65740142210734</v>
      </c>
    </row>
    <row r="12" spans="1:35" s="3" customFormat="1" ht="24.95" customHeight="1">
      <c r="A12" s="51"/>
      <c r="B12" s="6" t="s">
        <v>45</v>
      </c>
      <c r="C12" s="8">
        <f>D12+0</f>
        <v>38674.639999999999</v>
      </c>
      <c r="D12" s="8">
        <f t="shared" ref="D12:D16" si="10">SUM(E12:AI12)</f>
        <v>38674.639999999999</v>
      </c>
      <c r="E12" s="7">
        <v>1450.68</v>
      </c>
      <c r="F12" s="7">
        <v>1449.48</v>
      </c>
      <c r="G12" s="7">
        <v>1450.98</v>
      </c>
      <c r="H12" s="7">
        <v>1469.08</v>
      </c>
      <c r="I12" s="7">
        <v>1343.66</v>
      </c>
      <c r="J12" s="7">
        <v>1469.18</v>
      </c>
      <c r="K12" s="7">
        <v>1313.08</v>
      </c>
      <c r="L12" s="7">
        <v>1243.92</v>
      </c>
      <c r="M12" s="7">
        <v>1250.08</v>
      </c>
      <c r="N12" s="7">
        <v>1242.96</v>
      </c>
      <c r="O12" s="7">
        <v>1280.98</v>
      </c>
      <c r="P12" s="7">
        <v>1167.8800000000001</v>
      </c>
      <c r="Q12" s="7">
        <v>1331.64</v>
      </c>
      <c r="R12" s="7">
        <v>1368.26</v>
      </c>
      <c r="S12" s="7">
        <v>777.22</v>
      </c>
      <c r="T12" s="7">
        <v>1012.04</v>
      </c>
      <c r="U12" s="7">
        <v>1063.56</v>
      </c>
      <c r="V12" s="7">
        <v>1018.96</v>
      </c>
      <c r="W12" s="7">
        <v>987.68</v>
      </c>
      <c r="X12" s="7">
        <v>939.36</v>
      </c>
      <c r="Y12" s="7">
        <v>912.3</v>
      </c>
      <c r="Z12" s="7">
        <v>910.5</v>
      </c>
      <c r="AA12" s="7">
        <v>906.46</v>
      </c>
      <c r="AB12" s="7">
        <v>929.56</v>
      </c>
      <c r="AC12" s="7">
        <v>1534.5</v>
      </c>
      <c r="AD12" s="12">
        <v>1545.88</v>
      </c>
      <c r="AE12" s="12">
        <v>1463.14</v>
      </c>
      <c r="AF12" s="7">
        <v>1377.58</v>
      </c>
      <c r="AG12" s="7">
        <v>1493.7</v>
      </c>
      <c r="AH12" s="7">
        <v>1510.34</v>
      </c>
      <c r="AI12" s="7">
        <v>1460</v>
      </c>
    </row>
    <row r="13" spans="1:35" s="3" customFormat="1" ht="24.95" customHeight="1">
      <c r="A13" s="52" t="s">
        <v>46</v>
      </c>
      <c r="B13" s="6" t="s">
        <v>36</v>
      </c>
      <c r="C13" s="8">
        <f t="shared" ref="C13:C16" si="11">D13+0</f>
        <v>35562</v>
      </c>
      <c r="D13" s="10">
        <f t="shared" si="10"/>
        <v>35562</v>
      </c>
      <c r="E13" s="7">
        <v>1602</v>
      </c>
      <c r="F13" s="7">
        <v>1597</v>
      </c>
      <c r="G13" s="7">
        <v>1591</v>
      </c>
      <c r="H13" s="7">
        <v>1586</v>
      </c>
      <c r="I13" s="7">
        <v>1593</v>
      </c>
      <c r="J13" s="7">
        <v>1585</v>
      </c>
      <c r="K13" s="7">
        <v>1588</v>
      </c>
      <c r="L13" s="7">
        <v>1637</v>
      </c>
      <c r="M13" s="27">
        <v>1575</v>
      </c>
      <c r="N13" s="7">
        <v>1580</v>
      </c>
      <c r="O13" s="7">
        <v>1524</v>
      </c>
      <c r="P13" s="27">
        <v>1530</v>
      </c>
      <c r="Q13" s="7">
        <v>1489</v>
      </c>
      <c r="R13" s="7">
        <v>1051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1224</v>
      </c>
      <c r="AB13" s="7">
        <v>1564</v>
      </c>
      <c r="AC13" s="7">
        <v>1648</v>
      </c>
      <c r="AD13" s="7">
        <v>1666</v>
      </c>
      <c r="AE13" s="7">
        <v>1609</v>
      </c>
      <c r="AF13" s="7">
        <v>1598</v>
      </c>
      <c r="AG13" s="7">
        <v>1568</v>
      </c>
      <c r="AH13" s="7">
        <v>1576</v>
      </c>
      <c r="AI13" s="7">
        <v>1581</v>
      </c>
    </row>
    <row r="14" spans="1:35" s="3" customFormat="1" ht="24.95" customHeight="1">
      <c r="A14" s="55"/>
      <c r="B14" s="6" t="s">
        <v>37</v>
      </c>
      <c r="C14" s="8">
        <f t="shared" si="11"/>
        <v>48892</v>
      </c>
      <c r="D14" s="10">
        <f t="shared" si="10"/>
        <v>48892</v>
      </c>
      <c r="E14" s="7">
        <v>1596</v>
      </c>
      <c r="F14" s="7">
        <v>1623</v>
      </c>
      <c r="G14" s="7">
        <v>1624</v>
      </c>
      <c r="H14" s="7">
        <v>1631</v>
      </c>
      <c r="I14" s="7">
        <v>1644</v>
      </c>
      <c r="J14" s="7">
        <v>1614</v>
      </c>
      <c r="K14" s="7">
        <v>1625</v>
      </c>
      <c r="L14" s="7">
        <v>1624</v>
      </c>
      <c r="M14" s="27">
        <v>1616</v>
      </c>
      <c r="N14" s="7">
        <v>1605</v>
      </c>
      <c r="O14" s="7">
        <v>1529</v>
      </c>
      <c r="P14" s="27">
        <v>1589</v>
      </c>
      <c r="Q14" s="7">
        <v>1548</v>
      </c>
      <c r="R14" s="7">
        <v>1521</v>
      </c>
      <c r="S14" s="7">
        <v>1575</v>
      </c>
      <c r="T14" s="7">
        <v>1578</v>
      </c>
      <c r="U14" s="7">
        <v>1572</v>
      </c>
      <c r="V14" s="7">
        <v>1587</v>
      </c>
      <c r="W14" s="7">
        <v>1571</v>
      </c>
      <c r="X14" s="7">
        <v>1537</v>
      </c>
      <c r="Y14" s="7">
        <v>1548</v>
      </c>
      <c r="Z14" s="7">
        <v>1547</v>
      </c>
      <c r="AA14" s="7">
        <v>1553</v>
      </c>
      <c r="AB14" s="7">
        <v>1543</v>
      </c>
      <c r="AC14" s="7">
        <v>1552</v>
      </c>
      <c r="AD14" s="7">
        <v>1547</v>
      </c>
      <c r="AE14" s="7">
        <v>1549</v>
      </c>
      <c r="AF14" s="7">
        <v>1568</v>
      </c>
      <c r="AG14" s="7">
        <v>1566</v>
      </c>
      <c r="AH14" s="7">
        <v>1552</v>
      </c>
      <c r="AI14" s="7">
        <v>1558</v>
      </c>
    </row>
    <row r="15" spans="1:35" s="3" customFormat="1" ht="24" customHeight="1">
      <c r="A15" s="56"/>
      <c r="B15" s="7" t="s">
        <v>38</v>
      </c>
      <c r="C15" s="8">
        <f t="shared" si="11"/>
        <v>84454</v>
      </c>
      <c r="D15" s="7">
        <f t="shared" si="10"/>
        <v>84454</v>
      </c>
      <c r="E15" s="7">
        <f>SUM(E13:E14)</f>
        <v>3198</v>
      </c>
      <c r="F15" s="7">
        <f>SUM(F13:F14)</f>
        <v>3220</v>
      </c>
      <c r="G15" s="7">
        <f t="shared" ref="G15:AI15" si="12">SUM(G13:G14)</f>
        <v>3215</v>
      </c>
      <c r="H15" s="7">
        <f t="shared" si="12"/>
        <v>3217</v>
      </c>
      <c r="I15" s="7">
        <f t="shared" si="12"/>
        <v>3237</v>
      </c>
      <c r="J15" s="7">
        <f t="shared" si="12"/>
        <v>3199</v>
      </c>
      <c r="K15" s="7">
        <f t="shared" si="12"/>
        <v>3213</v>
      </c>
      <c r="L15" s="7">
        <f t="shared" si="12"/>
        <v>3261</v>
      </c>
      <c r="M15" s="7">
        <f t="shared" si="12"/>
        <v>3191</v>
      </c>
      <c r="N15" s="7">
        <f t="shared" si="12"/>
        <v>3185</v>
      </c>
      <c r="O15" s="7">
        <f t="shared" si="12"/>
        <v>3053</v>
      </c>
      <c r="P15" s="7">
        <f t="shared" si="12"/>
        <v>3119</v>
      </c>
      <c r="Q15" s="7">
        <f t="shared" si="12"/>
        <v>3037</v>
      </c>
      <c r="R15" s="7">
        <f t="shared" si="12"/>
        <v>2572</v>
      </c>
      <c r="S15" s="7">
        <f t="shared" si="12"/>
        <v>1575</v>
      </c>
      <c r="T15" s="7">
        <f t="shared" si="12"/>
        <v>1578</v>
      </c>
      <c r="U15" s="7">
        <f t="shared" si="12"/>
        <v>1572</v>
      </c>
      <c r="V15" s="7">
        <f t="shared" si="12"/>
        <v>1587</v>
      </c>
      <c r="W15" s="7">
        <f t="shared" si="12"/>
        <v>1571</v>
      </c>
      <c r="X15" s="7">
        <f t="shared" si="12"/>
        <v>1537</v>
      </c>
      <c r="Y15" s="7">
        <f t="shared" si="12"/>
        <v>1548</v>
      </c>
      <c r="Z15" s="7">
        <f t="shared" si="12"/>
        <v>1547</v>
      </c>
      <c r="AA15" s="7">
        <f t="shared" si="12"/>
        <v>2777</v>
      </c>
      <c r="AB15" s="7">
        <f t="shared" si="12"/>
        <v>3107</v>
      </c>
      <c r="AC15" s="7">
        <f t="shared" si="12"/>
        <v>3200</v>
      </c>
      <c r="AD15" s="7">
        <f t="shared" si="12"/>
        <v>3213</v>
      </c>
      <c r="AE15" s="7">
        <f t="shared" si="12"/>
        <v>3158</v>
      </c>
      <c r="AF15" s="7">
        <f t="shared" si="12"/>
        <v>3166</v>
      </c>
      <c r="AG15" s="7">
        <f t="shared" ref="AG15" si="13">SUM(AG13:AG14)</f>
        <v>3134</v>
      </c>
      <c r="AH15" s="7">
        <f t="shared" ref="AH15" si="14">SUM(AH13:AH14)</f>
        <v>3128</v>
      </c>
      <c r="AI15" s="7">
        <f t="shared" si="12"/>
        <v>3139</v>
      </c>
    </row>
    <row r="16" spans="1:35" s="3" customFormat="1" ht="24.95" customHeight="1">
      <c r="A16" s="51" t="s">
        <v>47</v>
      </c>
      <c r="B16" s="7" t="s">
        <v>38</v>
      </c>
      <c r="C16" s="8">
        <f t="shared" si="11"/>
        <v>2506000</v>
      </c>
      <c r="D16" s="7">
        <f t="shared" si="10"/>
        <v>2506000</v>
      </c>
      <c r="E16" s="7">
        <v>92000</v>
      </c>
      <c r="F16" s="7">
        <v>90000</v>
      </c>
      <c r="G16" s="7">
        <v>94000</v>
      </c>
      <c r="H16" s="7">
        <v>90000</v>
      </c>
      <c r="I16" s="7">
        <v>92000</v>
      </c>
      <c r="J16" s="7">
        <v>92000</v>
      </c>
      <c r="K16" s="7">
        <v>92000</v>
      </c>
      <c r="L16" s="7">
        <v>90000</v>
      </c>
      <c r="M16" s="7">
        <v>90000</v>
      </c>
      <c r="N16" s="7">
        <v>90000</v>
      </c>
      <c r="O16" s="7">
        <v>86000</v>
      </c>
      <c r="P16" s="7">
        <v>88000</v>
      </c>
      <c r="Q16" s="7">
        <v>86000</v>
      </c>
      <c r="R16" s="7">
        <v>80000</v>
      </c>
      <c r="S16" s="7">
        <v>60000</v>
      </c>
      <c r="T16" s="7">
        <v>58000</v>
      </c>
      <c r="U16" s="7">
        <v>60000</v>
      </c>
      <c r="V16" s="7">
        <v>58000</v>
      </c>
      <c r="W16" s="7">
        <v>56000</v>
      </c>
      <c r="X16" s="7">
        <v>58000</v>
      </c>
      <c r="Y16" s="7">
        <v>60000</v>
      </c>
      <c r="Z16" s="7">
        <v>60000</v>
      </c>
      <c r="AA16" s="7">
        <v>82000</v>
      </c>
      <c r="AB16" s="7">
        <v>86000</v>
      </c>
      <c r="AC16" s="7">
        <v>92000</v>
      </c>
      <c r="AD16" s="7">
        <v>86000</v>
      </c>
      <c r="AE16" s="7">
        <v>90000</v>
      </c>
      <c r="AF16" s="7">
        <v>88000</v>
      </c>
      <c r="AG16" s="7">
        <v>86000</v>
      </c>
      <c r="AH16" s="7">
        <v>88000</v>
      </c>
      <c r="AI16" s="7">
        <v>86000</v>
      </c>
    </row>
    <row r="17" spans="1:35" s="3" customFormat="1" ht="24.95" customHeight="1">
      <c r="A17" s="51"/>
      <c r="B17" s="6" t="s">
        <v>48</v>
      </c>
      <c r="C17" s="11">
        <f>SUM(C16/C8)</f>
        <v>0.13497791662178174</v>
      </c>
      <c r="D17" s="11">
        <f>SUM(D16/D8)</f>
        <v>0.13497791662178174</v>
      </c>
      <c r="E17" s="11">
        <f>SUM(E16/E8)</f>
        <v>0.12994350282485875</v>
      </c>
      <c r="F17" s="11">
        <f>SUM(F16/F8)</f>
        <v>0.12676056338028169</v>
      </c>
      <c r="G17" s="11">
        <f>SUM(G16/G8)</f>
        <v>0.13055555555555556</v>
      </c>
      <c r="H17" s="11">
        <f>SUM(H16/H8)</f>
        <v>0.12640449438202248</v>
      </c>
      <c r="I17" s="11">
        <f>SUM(I16/I8)</f>
        <v>0.12742382271468145</v>
      </c>
      <c r="J17" s="11">
        <f>SUM(J16/J8)</f>
        <v>0.12885154061624648</v>
      </c>
      <c r="K17" s="11">
        <f>SUM(K16/K8)</f>
        <v>0.12849162011173185</v>
      </c>
      <c r="L17" s="11">
        <f>SUM(L16/L8)</f>
        <v>0.12569832402234637</v>
      </c>
      <c r="M17" s="11">
        <f>SUM(M16/M8)</f>
        <v>0.1271186440677966</v>
      </c>
      <c r="N17" s="11">
        <f>SUM(N16/N8)</f>
        <v>0.12893982808022922</v>
      </c>
      <c r="O17" s="11">
        <f>SUM(O16/O8)</f>
        <v>0.12647058823529411</v>
      </c>
      <c r="P17" s="11">
        <f>SUM(P16/P8)</f>
        <v>0.1282798833819242</v>
      </c>
      <c r="Q17" s="11">
        <f>SUM(Q16/Q8)</f>
        <v>0.12912912912912913</v>
      </c>
      <c r="R17" s="11">
        <f>SUM(R16/R8)</f>
        <v>0.14184397163120568</v>
      </c>
      <c r="S17" s="11">
        <f>SUM(S16/S8)</f>
        <v>0.17751479289940827</v>
      </c>
      <c r="T17" s="11">
        <f>SUM(T16/T8)</f>
        <v>0.17261904761904762</v>
      </c>
      <c r="U17" s="11">
        <f>SUM(U16/U8)</f>
        <v>0.17857142857142858</v>
      </c>
      <c r="V17" s="11">
        <f>SUM(V16/V8)</f>
        <v>0.17058823529411765</v>
      </c>
      <c r="W17" s="11">
        <f>SUM(W16/W8)</f>
        <v>0.16766467065868262</v>
      </c>
      <c r="X17" s="11">
        <f>SUM(X16/X8)</f>
        <v>0.17682926829268292</v>
      </c>
      <c r="Y17" s="11">
        <f>SUM(Y16/Y8)</f>
        <v>0.18072289156626506</v>
      </c>
      <c r="Z17" s="11">
        <f>SUM(Z16/Z8)</f>
        <v>0.18867924528301888</v>
      </c>
      <c r="AA17" s="11">
        <f>SUM(AA16/AA8)</f>
        <v>0.13621262458471761</v>
      </c>
      <c r="AB17" s="11">
        <f>SUM(AB16/AB8)</f>
        <v>0.125</v>
      </c>
      <c r="AC17" s="11">
        <f>SUM(AC16/AC8)</f>
        <v>0.12957746478873239</v>
      </c>
      <c r="AD17" s="11">
        <f>SUM(AD16/AD8)</f>
        <v>0.12181303116147309</v>
      </c>
      <c r="AE17" s="11">
        <f>SUM(AE16/AE8)</f>
        <v>0.12820512820512819</v>
      </c>
      <c r="AF17" s="11">
        <f>SUM(AF16/AF8)</f>
        <v>0.12571428571428572</v>
      </c>
      <c r="AG17" s="11">
        <f>SUM(AG16/AG8)</f>
        <v>0.1235632183908046</v>
      </c>
      <c r="AH17" s="11">
        <f>SUM(AH16/AH8)</f>
        <v>0.12790697674418605</v>
      </c>
      <c r="AI17" s="11">
        <f>SUM(AI16/AI8)</f>
        <v>0.12427745664739884</v>
      </c>
    </row>
    <row r="18" spans="1:35" s="3" customFormat="1" ht="24.95" customHeight="1">
      <c r="A18" s="13"/>
      <c r="B18" s="13" t="s">
        <v>49</v>
      </c>
      <c r="C18" s="13"/>
      <c r="D18" s="7"/>
      <c r="E18" s="14">
        <v>14000</v>
      </c>
      <c r="F18" s="14">
        <v>14000</v>
      </c>
      <c r="G18" s="14">
        <v>14000</v>
      </c>
      <c r="H18" s="14">
        <v>14000</v>
      </c>
      <c r="I18" s="14">
        <v>13900</v>
      </c>
      <c r="J18" s="7">
        <v>14000</v>
      </c>
      <c r="K18" s="14">
        <v>13900</v>
      </c>
      <c r="L18" s="7">
        <v>13600</v>
      </c>
      <c r="M18" s="7">
        <v>13400</v>
      </c>
      <c r="N18" s="7">
        <v>13200</v>
      </c>
      <c r="O18" s="7">
        <v>13100</v>
      </c>
      <c r="P18" s="7">
        <v>13000</v>
      </c>
      <c r="Q18" s="7">
        <v>13100</v>
      </c>
      <c r="R18" s="7">
        <v>13500</v>
      </c>
      <c r="S18" s="7">
        <v>13500</v>
      </c>
      <c r="T18" s="7">
        <v>13800</v>
      </c>
      <c r="U18" s="7">
        <v>14100</v>
      </c>
      <c r="V18" s="7">
        <v>14400</v>
      </c>
      <c r="W18" s="7">
        <v>14700</v>
      </c>
      <c r="X18" s="7">
        <v>14900</v>
      </c>
      <c r="Y18" s="7">
        <v>15000</v>
      </c>
      <c r="Z18" s="7">
        <v>15800</v>
      </c>
      <c r="AA18" s="7">
        <v>15500</v>
      </c>
      <c r="AB18" s="7">
        <v>15100</v>
      </c>
      <c r="AC18" s="7">
        <v>15200</v>
      </c>
      <c r="AD18" s="7">
        <v>15300</v>
      </c>
      <c r="AE18" s="7">
        <v>15100</v>
      </c>
      <c r="AF18" s="7">
        <v>15000</v>
      </c>
      <c r="AG18" s="7">
        <v>15200</v>
      </c>
      <c r="AH18" s="7">
        <v>15300</v>
      </c>
      <c r="AI18" s="7">
        <v>15400</v>
      </c>
    </row>
    <row r="19" spans="1:35" s="3" customFormat="1" ht="24.95" customHeight="1">
      <c r="A19" s="62" t="s">
        <v>50</v>
      </c>
      <c r="B19" s="13" t="s">
        <v>51</v>
      </c>
      <c r="C19" s="7">
        <f t="shared" ref="C19:C32" si="15">D19+0</f>
        <v>7460.8199999999988</v>
      </c>
      <c r="D19" s="7">
        <f t="shared" ref="D19:D32" si="16">SUM(E19:AI19)</f>
        <v>7460.8199999999988</v>
      </c>
      <c r="E19" s="7">
        <v>274.06</v>
      </c>
      <c r="F19" s="15">
        <v>282.83999999999997</v>
      </c>
      <c r="G19" s="15">
        <v>257.32</v>
      </c>
      <c r="H19" s="15">
        <v>291.36</v>
      </c>
      <c r="I19" s="15">
        <v>264.62</v>
      </c>
      <c r="J19" s="15">
        <v>281.74</v>
      </c>
      <c r="K19" s="15">
        <v>286.06</v>
      </c>
      <c r="L19" s="15">
        <v>237.22</v>
      </c>
      <c r="M19" s="15">
        <v>241.18</v>
      </c>
      <c r="N19" s="15">
        <v>218.46</v>
      </c>
      <c r="O19" s="15">
        <v>239.5</v>
      </c>
      <c r="P19" s="15">
        <v>240.9</v>
      </c>
      <c r="Q19" s="15">
        <v>193.22</v>
      </c>
      <c r="R19" s="17">
        <v>228.52</v>
      </c>
      <c r="S19" s="15">
        <v>215.32</v>
      </c>
      <c r="T19" s="15">
        <v>221.72</v>
      </c>
      <c r="U19" s="15">
        <v>221.3</v>
      </c>
      <c r="V19" s="15">
        <v>229.9</v>
      </c>
      <c r="W19" s="15">
        <v>238.06</v>
      </c>
      <c r="X19" s="15">
        <v>253.4</v>
      </c>
      <c r="Y19" s="15">
        <v>237.66</v>
      </c>
      <c r="Z19" s="15">
        <v>240.8</v>
      </c>
      <c r="AA19" s="15">
        <v>234.96</v>
      </c>
      <c r="AB19" s="15">
        <v>232.94</v>
      </c>
      <c r="AC19" s="15">
        <v>237.76</v>
      </c>
      <c r="AD19" s="15">
        <v>233.72</v>
      </c>
      <c r="AE19" s="15">
        <v>199.24</v>
      </c>
      <c r="AF19" s="15">
        <v>111.54</v>
      </c>
      <c r="AG19" s="15">
        <v>264.7</v>
      </c>
      <c r="AH19" s="15">
        <v>290.12</v>
      </c>
      <c r="AI19" s="15">
        <v>260.68</v>
      </c>
    </row>
    <row r="20" spans="1:35" s="3" customFormat="1" ht="24.95" customHeight="1">
      <c r="A20" s="63"/>
      <c r="B20" s="16" t="s">
        <v>52</v>
      </c>
      <c r="C20" s="7">
        <f t="shared" si="15"/>
        <v>2227.7999999999997</v>
      </c>
      <c r="D20" s="7">
        <f t="shared" si="16"/>
        <v>2227.7999999999997</v>
      </c>
      <c r="E20" s="17">
        <v>74.16</v>
      </c>
      <c r="F20" s="15">
        <v>78.02</v>
      </c>
      <c r="G20" s="15">
        <v>72.680000000000007</v>
      </c>
      <c r="H20" s="15">
        <v>82.72</v>
      </c>
      <c r="I20" s="15">
        <v>72.400000000000006</v>
      </c>
      <c r="J20" s="15">
        <v>78.34</v>
      </c>
      <c r="K20" s="15">
        <v>68.66</v>
      </c>
      <c r="L20" s="15">
        <v>54.7</v>
      </c>
      <c r="M20" s="15">
        <v>71.5</v>
      </c>
      <c r="N20" s="15">
        <v>61.36</v>
      </c>
      <c r="O20" s="15">
        <v>65.8</v>
      </c>
      <c r="P20" s="15">
        <v>70.62</v>
      </c>
      <c r="Q20" s="15">
        <v>58.88</v>
      </c>
      <c r="R20" s="17">
        <v>60.56</v>
      </c>
      <c r="S20" s="15">
        <v>76.12</v>
      </c>
      <c r="T20" s="15">
        <v>65.72</v>
      </c>
      <c r="U20" s="15">
        <v>76.739999999999995</v>
      </c>
      <c r="V20" s="15">
        <v>74.760000000000005</v>
      </c>
      <c r="W20" s="15">
        <v>67.599999999999994</v>
      </c>
      <c r="X20" s="15">
        <v>73.180000000000007</v>
      </c>
      <c r="Y20" s="15">
        <v>67.739999999999995</v>
      </c>
      <c r="Z20" s="15">
        <v>71.84</v>
      </c>
      <c r="AA20" s="15">
        <v>68.94</v>
      </c>
      <c r="AB20" s="15">
        <v>65.680000000000007</v>
      </c>
      <c r="AC20" s="15">
        <v>87.26</v>
      </c>
      <c r="AD20" s="15">
        <v>88.1</v>
      </c>
      <c r="AE20" s="15">
        <v>76.92</v>
      </c>
      <c r="AF20" s="15">
        <v>74.099999999999994</v>
      </c>
      <c r="AG20" s="15">
        <v>70.540000000000006</v>
      </c>
      <c r="AH20" s="15">
        <v>75.42</v>
      </c>
      <c r="AI20" s="15">
        <v>76.739999999999995</v>
      </c>
    </row>
    <row r="21" spans="1:35" s="3" customFormat="1" ht="24.95" customHeight="1">
      <c r="A21" s="63"/>
      <c r="B21" s="16" t="s">
        <v>53</v>
      </c>
      <c r="C21" s="7">
        <f t="shared" si="15"/>
        <v>0</v>
      </c>
      <c r="D21" s="7">
        <f t="shared" si="16"/>
        <v>0</v>
      </c>
      <c r="E21" s="17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7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  <c r="AI21" s="15">
        <v>0</v>
      </c>
    </row>
    <row r="22" spans="1:35" s="3" customFormat="1" ht="24.95" customHeight="1">
      <c r="A22" s="63"/>
      <c r="B22" s="13" t="s">
        <v>54</v>
      </c>
      <c r="C22" s="7">
        <f t="shared" si="15"/>
        <v>0</v>
      </c>
      <c r="D22" s="7">
        <f t="shared" si="16"/>
        <v>0</v>
      </c>
      <c r="E22" s="17">
        <v>0</v>
      </c>
      <c r="F22" s="17">
        <v>0</v>
      </c>
      <c r="G22" s="17">
        <v>0</v>
      </c>
      <c r="H22" s="15">
        <v>0</v>
      </c>
      <c r="I22" s="17">
        <v>0</v>
      </c>
      <c r="J22" s="17">
        <v>0</v>
      </c>
      <c r="K22" s="15">
        <v>0</v>
      </c>
      <c r="L22" s="17">
        <v>0</v>
      </c>
      <c r="M22" s="15">
        <v>0</v>
      </c>
      <c r="N22" s="15">
        <v>0</v>
      </c>
      <c r="O22" s="15">
        <v>0</v>
      </c>
      <c r="P22" s="17">
        <v>0</v>
      </c>
      <c r="Q22" s="15">
        <v>0</v>
      </c>
      <c r="R22" s="17">
        <v>0</v>
      </c>
      <c r="S22" s="15">
        <v>0</v>
      </c>
      <c r="T22" s="17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7">
        <v>0</v>
      </c>
      <c r="AI22" s="15">
        <v>0</v>
      </c>
    </row>
    <row r="23" spans="1:35" s="3" customFormat="1" ht="22.15" customHeight="1">
      <c r="A23" s="63"/>
      <c r="B23" s="13" t="s">
        <v>55</v>
      </c>
      <c r="C23" s="7">
        <f t="shared" si="15"/>
        <v>0</v>
      </c>
      <c r="D23" s="7">
        <f t="shared" si="16"/>
        <v>0</v>
      </c>
      <c r="E23" s="17">
        <v>0</v>
      </c>
      <c r="F23" s="17">
        <v>0</v>
      </c>
      <c r="G23" s="17">
        <v>0</v>
      </c>
      <c r="H23" s="15">
        <v>0</v>
      </c>
      <c r="I23" s="17">
        <v>0</v>
      </c>
      <c r="J23" s="17">
        <v>0</v>
      </c>
      <c r="K23" s="15">
        <v>0</v>
      </c>
      <c r="L23" s="17">
        <v>0</v>
      </c>
      <c r="M23" s="15">
        <v>0</v>
      </c>
      <c r="N23" s="15">
        <v>0</v>
      </c>
      <c r="O23" s="15">
        <v>0</v>
      </c>
      <c r="P23" s="17">
        <v>0</v>
      </c>
      <c r="Q23" s="15">
        <v>0</v>
      </c>
      <c r="R23" s="17">
        <v>0</v>
      </c>
      <c r="S23" s="15">
        <v>0</v>
      </c>
      <c r="T23" s="17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7">
        <v>0</v>
      </c>
      <c r="AI23" s="15">
        <v>0</v>
      </c>
    </row>
    <row r="24" spans="1:35" s="3" customFormat="1" ht="22.15" customHeight="1">
      <c r="A24" s="63"/>
      <c r="B24" s="18" t="s">
        <v>56</v>
      </c>
      <c r="C24" s="7">
        <f t="shared" si="15"/>
        <v>0</v>
      </c>
      <c r="D24" s="7">
        <f t="shared" si="16"/>
        <v>0</v>
      </c>
      <c r="E24" s="17">
        <v>0</v>
      </c>
      <c r="F24" s="17">
        <v>0</v>
      </c>
      <c r="G24" s="17">
        <v>0</v>
      </c>
      <c r="H24" s="15">
        <v>0</v>
      </c>
      <c r="I24" s="17">
        <v>0</v>
      </c>
      <c r="J24" s="17">
        <v>0</v>
      </c>
      <c r="K24" s="15">
        <v>0</v>
      </c>
      <c r="L24" s="17">
        <v>0</v>
      </c>
      <c r="M24" s="15">
        <v>0</v>
      </c>
      <c r="N24" s="15">
        <v>0</v>
      </c>
      <c r="O24" s="15">
        <v>0</v>
      </c>
      <c r="P24" s="17">
        <v>0</v>
      </c>
      <c r="Q24" s="15">
        <v>0</v>
      </c>
      <c r="R24" s="17">
        <v>0</v>
      </c>
      <c r="S24" s="15">
        <v>0</v>
      </c>
      <c r="T24" s="17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7">
        <v>0</v>
      </c>
      <c r="AI24" s="15">
        <v>0</v>
      </c>
    </row>
    <row r="25" spans="1:35" s="3" customFormat="1" ht="22.15" customHeight="1">
      <c r="A25" s="63"/>
      <c r="B25" s="16" t="s">
        <v>57</v>
      </c>
      <c r="C25" s="7">
        <f t="shared" si="15"/>
        <v>6839.68</v>
      </c>
      <c r="D25" s="7">
        <f t="shared" si="16"/>
        <v>6839.68</v>
      </c>
      <c r="E25" s="17">
        <v>191.5</v>
      </c>
      <c r="F25" s="17">
        <v>238.32</v>
      </c>
      <c r="G25" s="17">
        <v>244.24</v>
      </c>
      <c r="H25" s="15">
        <v>232.16</v>
      </c>
      <c r="I25" s="17">
        <v>214.34</v>
      </c>
      <c r="J25" s="17">
        <v>209.52</v>
      </c>
      <c r="K25" s="15">
        <v>219.54</v>
      </c>
      <c r="L25" s="17">
        <v>203.38</v>
      </c>
      <c r="M25" s="15">
        <v>203.64</v>
      </c>
      <c r="N25" s="15">
        <v>189.46</v>
      </c>
      <c r="O25" s="15">
        <v>220.4</v>
      </c>
      <c r="P25" s="17">
        <v>198.76</v>
      </c>
      <c r="Q25" s="15">
        <v>212</v>
      </c>
      <c r="R25" s="17">
        <v>182.26</v>
      </c>
      <c r="S25" s="15">
        <v>193.86</v>
      </c>
      <c r="T25" s="17">
        <v>202.68</v>
      </c>
      <c r="U25" s="15">
        <v>238.96</v>
      </c>
      <c r="V25" s="15">
        <v>213.84</v>
      </c>
      <c r="W25" s="15">
        <v>261.08</v>
      </c>
      <c r="X25" s="15">
        <v>232.66</v>
      </c>
      <c r="Y25" s="15">
        <v>207.16</v>
      </c>
      <c r="Z25" s="15">
        <v>212.54</v>
      </c>
      <c r="AA25" s="15">
        <v>230.7</v>
      </c>
      <c r="AB25" s="15">
        <v>234.44</v>
      </c>
      <c r="AC25" s="15">
        <v>255.52</v>
      </c>
      <c r="AD25" s="15">
        <v>278.18</v>
      </c>
      <c r="AE25" s="15">
        <v>219.14</v>
      </c>
      <c r="AF25" s="15">
        <v>234.78</v>
      </c>
      <c r="AG25" s="15">
        <v>229.34</v>
      </c>
      <c r="AH25" s="17">
        <v>219.78</v>
      </c>
      <c r="AI25" s="15">
        <v>215.5</v>
      </c>
    </row>
    <row r="26" spans="1:35" s="3" customFormat="1" ht="22.15" customHeight="1">
      <c r="A26" s="63"/>
      <c r="B26" s="13" t="s">
        <v>58</v>
      </c>
      <c r="C26" s="7">
        <f t="shared" si="15"/>
        <v>0</v>
      </c>
      <c r="D26" s="7">
        <f t="shared" si="16"/>
        <v>0</v>
      </c>
      <c r="E26" s="17">
        <v>0</v>
      </c>
      <c r="F26" s="17">
        <v>0</v>
      </c>
      <c r="G26" s="17">
        <v>0</v>
      </c>
      <c r="H26" s="15">
        <v>0</v>
      </c>
      <c r="I26" s="17">
        <v>0</v>
      </c>
      <c r="J26" s="17">
        <v>0</v>
      </c>
      <c r="K26" s="15">
        <v>0</v>
      </c>
      <c r="L26" s="17">
        <v>0</v>
      </c>
      <c r="M26" s="15">
        <v>0</v>
      </c>
      <c r="N26" s="15">
        <v>0</v>
      </c>
      <c r="O26" s="15">
        <v>0</v>
      </c>
      <c r="P26" s="17">
        <v>0</v>
      </c>
      <c r="Q26" s="15">
        <v>0</v>
      </c>
      <c r="R26" s="17">
        <v>0</v>
      </c>
      <c r="S26" s="15">
        <v>0</v>
      </c>
      <c r="T26" s="17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7">
        <v>0</v>
      </c>
      <c r="AI26" s="15">
        <v>0</v>
      </c>
    </row>
    <row r="27" spans="1:35" s="3" customFormat="1" ht="22.15" customHeight="1">
      <c r="A27" s="63"/>
      <c r="B27" s="19" t="s">
        <v>59</v>
      </c>
      <c r="C27" s="7">
        <f t="shared" si="15"/>
        <v>7206.4400000000023</v>
      </c>
      <c r="D27" s="7">
        <f t="shared" si="16"/>
        <v>7206.4400000000023</v>
      </c>
      <c r="E27" s="17">
        <v>199.42</v>
      </c>
      <c r="F27" s="17">
        <v>155.80000000000001</v>
      </c>
      <c r="G27" s="17">
        <v>200.66</v>
      </c>
      <c r="H27" s="15">
        <v>186.24</v>
      </c>
      <c r="I27" s="17">
        <v>170.54</v>
      </c>
      <c r="J27" s="17">
        <v>170.24</v>
      </c>
      <c r="K27" s="15">
        <v>166.24</v>
      </c>
      <c r="L27" s="17">
        <v>181.76</v>
      </c>
      <c r="M27" s="15">
        <v>150</v>
      </c>
      <c r="N27" s="15">
        <v>165.04</v>
      </c>
      <c r="O27" s="15">
        <v>180.24</v>
      </c>
      <c r="P27" s="17">
        <v>152.06</v>
      </c>
      <c r="Q27" s="15">
        <v>259.94</v>
      </c>
      <c r="R27" s="17">
        <v>203.02</v>
      </c>
      <c r="S27" s="15">
        <v>164.8</v>
      </c>
      <c r="T27" s="17">
        <v>372.28</v>
      </c>
      <c r="U27" s="15">
        <v>376.42</v>
      </c>
      <c r="V27" s="15">
        <v>376.54</v>
      </c>
      <c r="W27" s="15">
        <v>286.54000000000002</v>
      </c>
      <c r="X27" s="15">
        <v>234.5</v>
      </c>
      <c r="Y27" s="15">
        <v>246.8</v>
      </c>
      <c r="Z27" s="15">
        <v>257.56</v>
      </c>
      <c r="AA27" s="15">
        <v>239.8</v>
      </c>
      <c r="AB27" s="15">
        <v>266.42</v>
      </c>
      <c r="AC27" s="15">
        <v>267.48</v>
      </c>
      <c r="AD27" s="15">
        <v>275.68</v>
      </c>
      <c r="AE27" s="15">
        <v>272.86</v>
      </c>
      <c r="AF27" s="15">
        <v>235.22</v>
      </c>
      <c r="AG27" s="15">
        <v>252.46</v>
      </c>
      <c r="AH27" s="17">
        <v>276.32</v>
      </c>
      <c r="AI27" s="15">
        <v>263.56</v>
      </c>
    </row>
    <row r="28" spans="1:35" s="3" customFormat="1" ht="22.15" customHeight="1">
      <c r="A28" s="63"/>
      <c r="B28" s="19" t="s">
        <v>60</v>
      </c>
      <c r="C28" s="7">
        <f t="shared" si="15"/>
        <v>4228.46</v>
      </c>
      <c r="D28" s="7">
        <f t="shared" si="16"/>
        <v>4228.46</v>
      </c>
      <c r="E28" s="17">
        <v>159.76</v>
      </c>
      <c r="F28" s="17">
        <v>140.19999999999999</v>
      </c>
      <c r="G28" s="17">
        <v>123.84</v>
      </c>
      <c r="H28" s="15">
        <v>135.38</v>
      </c>
      <c r="I28" s="17">
        <v>152.54</v>
      </c>
      <c r="J28" s="17">
        <v>148.16</v>
      </c>
      <c r="K28" s="15">
        <v>113.34</v>
      </c>
      <c r="L28" s="17">
        <v>117.16</v>
      </c>
      <c r="M28" s="15">
        <v>117.72</v>
      </c>
      <c r="N28" s="15">
        <v>148.58000000000001</v>
      </c>
      <c r="O28" s="15">
        <v>124.76</v>
      </c>
      <c r="P28" s="17">
        <v>118.04</v>
      </c>
      <c r="Q28" s="15">
        <v>128.12</v>
      </c>
      <c r="R28" s="17">
        <v>143.58000000000001</v>
      </c>
      <c r="S28" s="15">
        <v>123</v>
      </c>
      <c r="T28" s="17">
        <v>149.63999999999999</v>
      </c>
      <c r="U28" s="15">
        <v>150.13999999999999</v>
      </c>
      <c r="V28" s="15">
        <v>123.92</v>
      </c>
      <c r="W28" s="15">
        <v>134.4</v>
      </c>
      <c r="X28" s="15">
        <v>145.62</v>
      </c>
      <c r="Y28" s="15">
        <v>152.94</v>
      </c>
      <c r="Z28" s="15">
        <v>127.76</v>
      </c>
      <c r="AA28" s="15">
        <v>132.06</v>
      </c>
      <c r="AB28" s="15">
        <v>130.08000000000001</v>
      </c>
      <c r="AC28" s="15">
        <v>136.68</v>
      </c>
      <c r="AD28" s="15">
        <v>146.28</v>
      </c>
      <c r="AE28" s="15">
        <v>129.13999999999999</v>
      </c>
      <c r="AF28" s="15">
        <v>147.80000000000001</v>
      </c>
      <c r="AG28" s="15">
        <v>130.56</v>
      </c>
      <c r="AH28" s="17">
        <v>140.22</v>
      </c>
      <c r="AI28" s="15">
        <v>157.04</v>
      </c>
    </row>
    <row r="29" spans="1:35" s="3" customFormat="1" ht="22.15" customHeight="1">
      <c r="A29" s="63"/>
      <c r="B29" s="19" t="s">
        <v>61</v>
      </c>
      <c r="C29" s="7">
        <f t="shared" si="15"/>
        <v>10556.159999999998</v>
      </c>
      <c r="D29" s="7">
        <f t="shared" si="16"/>
        <v>10556.159999999998</v>
      </c>
      <c r="E29" s="17">
        <v>548.4</v>
      </c>
      <c r="F29" s="17">
        <v>550.78</v>
      </c>
      <c r="G29" s="17">
        <v>552.24</v>
      </c>
      <c r="H29" s="15">
        <v>541.22</v>
      </c>
      <c r="I29" s="17">
        <v>465.64</v>
      </c>
      <c r="J29" s="17">
        <v>577.5</v>
      </c>
      <c r="K29" s="15">
        <v>432.42</v>
      </c>
      <c r="L29" s="17">
        <v>446.38</v>
      </c>
      <c r="M29" s="15">
        <v>462.74</v>
      </c>
      <c r="N29" s="15">
        <v>460.06</v>
      </c>
      <c r="O29" s="15">
        <v>448.56</v>
      </c>
      <c r="P29" s="17">
        <v>387.5</v>
      </c>
      <c r="Q29" s="15">
        <v>476.08</v>
      </c>
      <c r="R29" s="17">
        <v>546.91999999999996</v>
      </c>
      <c r="S29" s="15">
        <v>0</v>
      </c>
      <c r="T29" s="17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549.79999999999995</v>
      </c>
      <c r="AD29" s="15">
        <v>502.36</v>
      </c>
      <c r="AE29" s="15">
        <v>543.22</v>
      </c>
      <c r="AF29" s="15">
        <v>538.9</v>
      </c>
      <c r="AG29" s="15">
        <v>530.48</v>
      </c>
      <c r="AH29" s="17">
        <v>508.48</v>
      </c>
      <c r="AI29" s="15">
        <v>486.48</v>
      </c>
    </row>
    <row r="30" spans="1:35" s="3" customFormat="1" ht="22.15" customHeight="1">
      <c r="A30" s="63"/>
      <c r="B30" s="19" t="s">
        <v>62</v>
      </c>
      <c r="C30" s="7">
        <f t="shared" si="15"/>
        <v>32.82</v>
      </c>
      <c r="D30" s="7">
        <f t="shared" si="16"/>
        <v>32.82</v>
      </c>
      <c r="E30" s="17">
        <v>3.38</v>
      </c>
      <c r="F30" s="17">
        <v>3.52</v>
      </c>
      <c r="G30" s="17">
        <v>0</v>
      </c>
      <c r="H30" s="15">
        <v>0</v>
      </c>
      <c r="I30" s="17">
        <v>3.58</v>
      </c>
      <c r="J30" s="17">
        <v>3.68</v>
      </c>
      <c r="K30" s="15">
        <v>3.52</v>
      </c>
      <c r="L30" s="17">
        <v>3.32</v>
      </c>
      <c r="M30" s="15">
        <v>3.3</v>
      </c>
      <c r="N30" s="15">
        <v>0</v>
      </c>
      <c r="O30" s="15">
        <v>1.72</v>
      </c>
      <c r="P30" s="17">
        <v>0</v>
      </c>
      <c r="Q30" s="15">
        <v>3.4</v>
      </c>
      <c r="R30" s="17">
        <v>3.4</v>
      </c>
      <c r="S30" s="15">
        <v>0</v>
      </c>
      <c r="T30" s="17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7">
        <v>0</v>
      </c>
      <c r="AI30" s="15">
        <v>0</v>
      </c>
    </row>
    <row r="31" spans="1:35" s="3" customFormat="1" ht="22.15" customHeight="1">
      <c r="A31" s="63"/>
      <c r="B31" s="19" t="s">
        <v>63</v>
      </c>
      <c r="C31" s="7">
        <f t="shared" si="15"/>
        <v>0</v>
      </c>
      <c r="D31" s="7">
        <f t="shared" si="16"/>
        <v>0</v>
      </c>
      <c r="E31" s="17">
        <v>0</v>
      </c>
      <c r="F31" s="17">
        <v>0</v>
      </c>
      <c r="G31" s="17">
        <v>0</v>
      </c>
      <c r="H31" s="15">
        <v>0</v>
      </c>
      <c r="I31" s="17">
        <v>0</v>
      </c>
      <c r="J31" s="17">
        <v>0</v>
      </c>
      <c r="K31" s="15">
        <v>0</v>
      </c>
      <c r="L31" s="17">
        <v>0</v>
      </c>
      <c r="M31" s="15">
        <v>0</v>
      </c>
      <c r="N31" s="15">
        <v>0</v>
      </c>
      <c r="O31" s="15">
        <v>0</v>
      </c>
      <c r="P31" s="17">
        <v>0</v>
      </c>
      <c r="Q31" s="15">
        <v>0</v>
      </c>
      <c r="R31" s="17">
        <v>0</v>
      </c>
      <c r="S31" s="15">
        <v>0</v>
      </c>
      <c r="T31" s="17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7">
        <v>0</v>
      </c>
      <c r="AI31" s="15">
        <v>0</v>
      </c>
    </row>
    <row r="32" spans="1:35" s="3" customFormat="1" ht="22.15" customHeight="1">
      <c r="A32" s="63"/>
      <c r="B32" s="19" t="s">
        <v>64</v>
      </c>
      <c r="C32" s="7">
        <f t="shared" si="15"/>
        <v>122.46000000000001</v>
      </c>
      <c r="D32" s="7">
        <f t="shared" si="16"/>
        <v>122.46000000000001</v>
      </c>
      <c r="E32" s="17">
        <v>0</v>
      </c>
      <c r="F32" s="17">
        <v>0</v>
      </c>
      <c r="G32" s="17">
        <v>0</v>
      </c>
      <c r="H32" s="15">
        <v>0</v>
      </c>
      <c r="I32" s="17">
        <v>0</v>
      </c>
      <c r="J32" s="17">
        <v>0</v>
      </c>
      <c r="K32" s="15">
        <v>23.3</v>
      </c>
      <c r="L32" s="17">
        <v>0</v>
      </c>
      <c r="M32" s="15">
        <v>0</v>
      </c>
      <c r="N32" s="15">
        <v>0</v>
      </c>
      <c r="O32" s="15">
        <v>0</v>
      </c>
      <c r="P32" s="17">
        <v>0</v>
      </c>
      <c r="Q32" s="15">
        <v>0</v>
      </c>
      <c r="R32" s="17">
        <v>0</v>
      </c>
      <c r="S32" s="15">
        <v>4.12</v>
      </c>
      <c r="T32" s="17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21.56</v>
      </c>
      <c r="AE32" s="28">
        <v>22.62</v>
      </c>
      <c r="AF32" s="15">
        <v>35.24</v>
      </c>
      <c r="AG32" s="15">
        <v>15.62</v>
      </c>
      <c r="AH32" s="17">
        <v>0</v>
      </c>
      <c r="AI32" s="15">
        <v>0</v>
      </c>
    </row>
    <row r="33" spans="1:35" s="3" customFormat="1" ht="22.15" hidden="1" customHeight="1">
      <c r="A33" s="63"/>
      <c r="B33" s="19"/>
      <c r="C33" s="7"/>
      <c r="D33" s="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5">
        <v>22.62</v>
      </c>
      <c r="AF33" s="17"/>
      <c r="AG33" s="17"/>
      <c r="AH33" s="17"/>
      <c r="AI33" s="17"/>
    </row>
    <row r="34" spans="1:35" s="3" customFormat="1" ht="22.15" hidden="1" customHeight="1">
      <c r="A34" s="63"/>
      <c r="B34" s="19"/>
      <c r="C34" s="7"/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5" s="3" customFormat="1" ht="26.1" customHeight="1">
      <c r="A35" s="64"/>
      <c r="B35" s="12" t="s">
        <v>65</v>
      </c>
      <c r="C35" s="7">
        <f>SUM(C19:C34)</f>
        <v>38674.639999999999</v>
      </c>
      <c r="D35" s="7">
        <f>SUM(D19:D34)</f>
        <v>38674.639999999999</v>
      </c>
      <c r="E35" s="7">
        <f>SUM(E19:E34)</f>
        <v>1450.68</v>
      </c>
      <c r="F35" s="7">
        <f t="shared" ref="F35:AI35" si="17">SUM(F19:F34)</f>
        <v>1449.48</v>
      </c>
      <c r="G35" s="7">
        <f t="shared" si="17"/>
        <v>1450.98</v>
      </c>
      <c r="H35" s="7">
        <f t="shared" si="17"/>
        <v>1469.08</v>
      </c>
      <c r="I35" s="7">
        <f t="shared" si="17"/>
        <v>1343.6599999999999</v>
      </c>
      <c r="J35" s="7">
        <f t="shared" si="17"/>
        <v>1469.18</v>
      </c>
      <c r="K35" s="7">
        <f t="shared" si="17"/>
        <v>1313.08</v>
      </c>
      <c r="L35" s="7">
        <f t="shared" si="17"/>
        <v>1243.9199999999998</v>
      </c>
      <c r="M35" s="7">
        <f t="shared" si="17"/>
        <v>1250.08</v>
      </c>
      <c r="N35" s="7">
        <f t="shared" si="17"/>
        <v>1242.96</v>
      </c>
      <c r="O35" s="7">
        <f t="shared" si="17"/>
        <v>1280.98</v>
      </c>
      <c r="P35" s="7">
        <f t="shared" si="17"/>
        <v>1167.8799999999999</v>
      </c>
      <c r="Q35" s="7">
        <f t="shared" si="17"/>
        <v>1331.64</v>
      </c>
      <c r="R35" s="7">
        <f t="shared" si="17"/>
        <v>1368.2600000000002</v>
      </c>
      <c r="S35" s="7">
        <f t="shared" si="17"/>
        <v>777.22</v>
      </c>
      <c r="T35" s="7">
        <f t="shared" si="17"/>
        <v>1012.04</v>
      </c>
      <c r="U35" s="7">
        <f t="shared" si="17"/>
        <v>1063.56</v>
      </c>
      <c r="V35" s="7">
        <f t="shared" si="17"/>
        <v>1018.9599999999999</v>
      </c>
      <c r="W35" s="7">
        <f t="shared" si="17"/>
        <v>987.68</v>
      </c>
      <c r="X35" s="7">
        <f t="shared" si="17"/>
        <v>939.36</v>
      </c>
      <c r="Y35" s="7">
        <f t="shared" si="17"/>
        <v>912.3</v>
      </c>
      <c r="Z35" s="7">
        <f t="shared" si="17"/>
        <v>910.5</v>
      </c>
      <c r="AA35" s="7">
        <f t="shared" si="17"/>
        <v>906.45999999999981</v>
      </c>
      <c r="AB35" s="7">
        <f t="shared" si="17"/>
        <v>929.56000000000006</v>
      </c>
      <c r="AC35" s="7">
        <f t="shared" si="17"/>
        <v>1534.5</v>
      </c>
      <c r="AD35" s="7">
        <f t="shared" si="17"/>
        <v>1545.88</v>
      </c>
      <c r="AE35" s="7">
        <f t="shared" si="17"/>
        <v>1485.7599999999998</v>
      </c>
      <c r="AF35" s="7">
        <f t="shared" si="17"/>
        <v>1377.5800000000002</v>
      </c>
      <c r="AG35" s="7">
        <f t="shared" si="17"/>
        <v>1493.7</v>
      </c>
      <c r="AH35" s="7">
        <f t="shared" si="17"/>
        <v>1510.3400000000001</v>
      </c>
      <c r="AI35" s="7">
        <f t="shared" si="17"/>
        <v>1460</v>
      </c>
    </row>
    <row r="36" spans="1:35" s="3" customFormat="1" ht="26.1" customHeight="1">
      <c r="A36" s="61" t="s">
        <v>68</v>
      </c>
      <c r="B36" s="12" t="s">
        <v>66</v>
      </c>
      <c r="C36" s="12">
        <f t="shared" ref="C36:C41" si="18">D36+0</f>
        <v>8219.84</v>
      </c>
      <c r="D36" s="7">
        <f>SUM(E36:AI36)</f>
        <v>8219.84</v>
      </c>
      <c r="E36" s="7">
        <v>293.26</v>
      </c>
      <c r="F36" s="7">
        <v>200.2</v>
      </c>
      <c r="G36" s="7">
        <v>404.94</v>
      </c>
      <c r="H36" s="7">
        <v>306.45999999999998</v>
      </c>
      <c r="I36" s="7">
        <v>281.24</v>
      </c>
      <c r="J36" s="7">
        <v>341.46</v>
      </c>
      <c r="K36" s="7">
        <v>244.08</v>
      </c>
      <c r="L36" s="7">
        <v>239</v>
      </c>
      <c r="M36" s="7">
        <v>296.45999999999998</v>
      </c>
      <c r="N36" s="7">
        <v>255.16</v>
      </c>
      <c r="O36" s="7">
        <v>301.36</v>
      </c>
      <c r="P36" s="7">
        <v>321.72000000000003</v>
      </c>
      <c r="Q36" s="7">
        <v>283.64</v>
      </c>
      <c r="R36" s="7">
        <v>270.60000000000002</v>
      </c>
      <c r="S36" s="7">
        <v>208.5</v>
      </c>
      <c r="T36" s="7">
        <v>153.30000000000001</v>
      </c>
      <c r="U36" s="7">
        <v>190</v>
      </c>
      <c r="V36" s="7">
        <v>194.82</v>
      </c>
      <c r="W36" s="7">
        <v>171.94</v>
      </c>
      <c r="X36" s="7">
        <v>211.26</v>
      </c>
      <c r="Y36" s="7">
        <v>120.32</v>
      </c>
      <c r="Z36" s="7">
        <v>184.38</v>
      </c>
      <c r="AA36" s="7">
        <v>160.12</v>
      </c>
      <c r="AB36" s="7">
        <v>268.98</v>
      </c>
      <c r="AC36" s="7">
        <v>241.1</v>
      </c>
      <c r="AD36" s="7">
        <v>415.26</v>
      </c>
      <c r="AE36" s="7">
        <v>433.12</v>
      </c>
      <c r="AF36" s="7">
        <v>279.77999999999997</v>
      </c>
      <c r="AG36" s="7">
        <v>278.76</v>
      </c>
      <c r="AH36" s="7">
        <v>325.5</v>
      </c>
      <c r="AI36" s="7">
        <v>343.12</v>
      </c>
    </row>
    <row r="37" spans="1:35" s="3" customFormat="1" ht="26.1" customHeight="1">
      <c r="A37" s="53"/>
      <c r="B37" s="12" t="s">
        <v>67</v>
      </c>
      <c r="C37" s="12">
        <f t="shared" si="18"/>
        <v>999.26</v>
      </c>
      <c r="D37" s="7">
        <f t="shared" ref="D37" si="19">SUM(E37:AI37)</f>
        <v>999.26</v>
      </c>
      <c r="E37" s="7">
        <v>0</v>
      </c>
      <c r="F37" s="7">
        <v>28.52</v>
      </c>
      <c r="G37" s="7">
        <v>32.22</v>
      </c>
      <c r="H37" s="7">
        <v>41.36</v>
      </c>
      <c r="I37" s="7">
        <v>44.26</v>
      </c>
      <c r="J37" s="7">
        <v>32.74</v>
      </c>
      <c r="K37" s="7">
        <v>30.58</v>
      </c>
      <c r="L37" s="7">
        <v>50.32</v>
      </c>
      <c r="M37" s="7">
        <v>31.8</v>
      </c>
      <c r="N37" s="7">
        <v>37.159999999999997</v>
      </c>
      <c r="O37" s="7">
        <v>38.880000000000003</v>
      </c>
      <c r="P37" s="7">
        <v>51.94</v>
      </c>
      <c r="Q37" s="7">
        <v>32.6</v>
      </c>
      <c r="R37" s="7">
        <v>50.06</v>
      </c>
      <c r="S37" s="7">
        <v>9.8800000000000008</v>
      </c>
      <c r="T37" s="7">
        <v>35.159999999999997</v>
      </c>
      <c r="U37" s="7">
        <v>12.02</v>
      </c>
      <c r="V37" s="7">
        <v>33.799999999999997</v>
      </c>
      <c r="W37" s="7">
        <v>33.1</v>
      </c>
      <c r="X37" s="7">
        <v>33.32</v>
      </c>
      <c r="Y37" s="7">
        <v>25.92</v>
      </c>
      <c r="Z37" s="7">
        <v>11.66</v>
      </c>
      <c r="AA37" s="7">
        <v>12.44</v>
      </c>
      <c r="AB37" s="7">
        <v>32.5</v>
      </c>
      <c r="AC37" s="7">
        <v>22.24</v>
      </c>
      <c r="AD37" s="7">
        <v>35.159999999999997</v>
      </c>
      <c r="AE37" s="7">
        <v>42.26</v>
      </c>
      <c r="AF37" s="7">
        <v>40.159999999999997</v>
      </c>
      <c r="AG37" s="7">
        <v>43.44</v>
      </c>
      <c r="AH37" s="7">
        <v>20.38</v>
      </c>
      <c r="AI37" s="7">
        <v>53.38</v>
      </c>
    </row>
    <row r="38" spans="1:35" s="3" customFormat="1" ht="24.95" customHeight="1">
      <c r="A38" s="54"/>
      <c r="B38" s="6" t="s">
        <v>69</v>
      </c>
      <c r="C38" s="12">
        <f t="shared" si="18"/>
        <v>1958</v>
      </c>
      <c r="D38" s="7">
        <f t="shared" ref="D38:D41" si="20">SUM(E38:AI38)</f>
        <v>1958</v>
      </c>
      <c r="E38" s="7">
        <v>66</v>
      </c>
      <c r="F38" s="7">
        <v>73</v>
      </c>
      <c r="G38" s="7">
        <v>67</v>
      </c>
      <c r="H38" s="7">
        <v>53</v>
      </c>
      <c r="I38" s="7">
        <v>95</v>
      </c>
      <c r="J38" s="7">
        <v>48</v>
      </c>
      <c r="K38" s="7">
        <v>110</v>
      </c>
      <c r="L38" s="7">
        <v>55</v>
      </c>
      <c r="M38" s="7">
        <v>73</v>
      </c>
      <c r="N38" s="7">
        <v>107</v>
      </c>
      <c r="O38" s="7">
        <v>81</v>
      </c>
      <c r="P38" s="7">
        <v>0</v>
      </c>
      <c r="Q38" s="7">
        <v>0</v>
      </c>
      <c r="R38" s="7">
        <v>0</v>
      </c>
      <c r="S38" s="7">
        <v>102</v>
      </c>
      <c r="T38" s="7">
        <v>76</v>
      </c>
      <c r="U38" s="7">
        <v>29</v>
      </c>
      <c r="V38" s="7">
        <v>0</v>
      </c>
      <c r="W38" s="7">
        <v>0</v>
      </c>
      <c r="X38" s="7">
        <v>43</v>
      </c>
      <c r="Y38" s="7">
        <v>58</v>
      </c>
      <c r="Z38" s="7">
        <v>54</v>
      </c>
      <c r="AA38" s="7">
        <v>34</v>
      </c>
      <c r="AB38" s="7">
        <v>62</v>
      </c>
      <c r="AC38" s="7">
        <v>72</v>
      </c>
      <c r="AD38" s="7">
        <v>54</v>
      </c>
      <c r="AE38" s="7">
        <v>308</v>
      </c>
      <c r="AF38" s="7">
        <v>59</v>
      </c>
      <c r="AG38" s="7">
        <v>54</v>
      </c>
      <c r="AH38" s="7">
        <v>56</v>
      </c>
      <c r="AI38" s="7">
        <v>69</v>
      </c>
    </row>
    <row r="39" spans="1:35" s="3" customFormat="1" ht="24.95" customHeight="1">
      <c r="A39" s="52" t="s">
        <v>70</v>
      </c>
      <c r="B39" s="6" t="s">
        <v>71</v>
      </c>
      <c r="C39" s="12">
        <f t="shared" si="18"/>
        <v>76.47999999999999</v>
      </c>
      <c r="D39" s="7">
        <f t="shared" si="20"/>
        <v>76.47999999999999</v>
      </c>
      <c r="E39" s="39">
        <v>3.036</v>
      </c>
      <c r="F39" s="39">
        <v>2.944</v>
      </c>
      <c r="G39" s="39">
        <v>2.944</v>
      </c>
      <c r="H39" s="46">
        <v>2.8519999999999999</v>
      </c>
      <c r="I39" s="39">
        <v>2.8519999999999999</v>
      </c>
      <c r="J39" s="39">
        <v>3.4</v>
      </c>
      <c r="K39" s="39">
        <v>3.3</v>
      </c>
      <c r="L39" s="39">
        <v>2.944</v>
      </c>
      <c r="M39" s="39">
        <v>3.3</v>
      </c>
      <c r="N39" s="39">
        <v>2.944</v>
      </c>
      <c r="O39" s="42">
        <v>2.5760000000000001</v>
      </c>
      <c r="P39" s="42">
        <v>2.8519999999999999</v>
      </c>
      <c r="Q39" s="42">
        <v>2.5760000000000001</v>
      </c>
      <c r="R39" s="42">
        <v>2.4</v>
      </c>
      <c r="S39" s="42">
        <v>1.4</v>
      </c>
      <c r="T39" s="42">
        <v>1.2</v>
      </c>
      <c r="U39" s="42">
        <v>1.288</v>
      </c>
      <c r="V39" s="42">
        <v>1.38</v>
      </c>
      <c r="W39" s="42">
        <v>1.288</v>
      </c>
      <c r="X39" s="42">
        <v>1.196</v>
      </c>
      <c r="Y39" s="39">
        <v>1.288</v>
      </c>
      <c r="Z39" s="39">
        <v>1.288</v>
      </c>
      <c r="AA39" s="39">
        <v>1.748</v>
      </c>
      <c r="AB39" s="39">
        <v>2.944</v>
      </c>
      <c r="AC39" s="39">
        <v>2.76</v>
      </c>
      <c r="AD39" s="39">
        <v>3.036</v>
      </c>
      <c r="AE39" s="39">
        <v>2.94</v>
      </c>
      <c r="AF39" s="39">
        <v>2.8519999999999999</v>
      </c>
      <c r="AG39" s="39">
        <v>2.8519999999999999</v>
      </c>
      <c r="AH39" s="39">
        <v>3</v>
      </c>
      <c r="AI39" s="30">
        <v>3.1</v>
      </c>
    </row>
    <row r="40" spans="1:35" s="3" customFormat="1" ht="24.95" customHeight="1">
      <c r="A40" s="55"/>
      <c r="B40" s="6" t="s">
        <v>72</v>
      </c>
      <c r="C40" s="12">
        <f t="shared" si="18"/>
        <v>379.90000000000003</v>
      </c>
      <c r="D40" s="7">
        <f t="shared" si="20"/>
        <v>379.90000000000003</v>
      </c>
      <c r="E40" s="40">
        <v>15.3</v>
      </c>
      <c r="F40" s="40">
        <v>13.3</v>
      </c>
      <c r="G40" s="40">
        <v>13.8</v>
      </c>
      <c r="H40" s="40">
        <v>12.3</v>
      </c>
      <c r="I40" s="40">
        <v>11.8</v>
      </c>
      <c r="J40" s="40">
        <v>12.9</v>
      </c>
      <c r="K40" s="40">
        <v>13.7</v>
      </c>
      <c r="L40" s="40">
        <v>12.7</v>
      </c>
      <c r="M40" s="40">
        <v>13.2</v>
      </c>
      <c r="N40" s="40">
        <v>14.7</v>
      </c>
      <c r="O40" s="43">
        <v>14.1</v>
      </c>
      <c r="P40" s="43">
        <v>15.6</v>
      </c>
      <c r="Q40" s="43">
        <v>17.2</v>
      </c>
      <c r="R40" s="43">
        <v>14.2</v>
      </c>
      <c r="S40" s="43">
        <v>7.3</v>
      </c>
      <c r="T40" s="43">
        <v>5.4</v>
      </c>
      <c r="U40" s="43">
        <v>8.5</v>
      </c>
      <c r="V40" s="43">
        <v>7.3</v>
      </c>
      <c r="W40" s="43">
        <v>9.1999999999999993</v>
      </c>
      <c r="X40" s="43">
        <v>6.4</v>
      </c>
      <c r="Y40" s="43">
        <v>6</v>
      </c>
      <c r="Z40" s="43">
        <v>6.9</v>
      </c>
      <c r="AA40" s="43">
        <v>11.9</v>
      </c>
      <c r="AB40" s="43">
        <v>14.2</v>
      </c>
      <c r="AC40" s="43">
        <v>14.6</v>
      </c>
      <c r="AD40" s="43">
        <v>15.5</v>
      </c>
      <c r="AE40" s="43">
        <v>14.5</v>
      </c>
      <c r="AF40" s="43">
        <v>15</v>
      </c>
      <c r="AG40" s="43">
        <v>14.7</v>
      </c>
      <c r="AH40" s="43">
        <v>13.1</v>
      </c>
      <c r="AI40" s="45">
        <v>14.6</v>
      </c>
    </row>
    <row r="41" spans="1:35" s="3" customFormat="1" ht="24.95" customHeight="1">
      <c r="A41" s="56"/>
      <c r="B41" s="6" t="s">
        <v>73</v>
      </c>
      <c r="C41" s="12">
        <f t="shared" si="18"/>
        <v>19.699999999999996</v>
      </c>
      <c r="D41" s="7">
        <f t="shared" si="20"/>
        <v>19.699999999999996</v>
      </c>
      <c r="E41" s="41">
        <v>0.7</v>
      </c>
      <c r="F41" s="41">
        <v>0.8</v>
      </c>
      <c r="G41" s="41">
        <v>0.8</v>
      </c>
      <c r="H41" s="41">
        <v>0.7</v>
      </c>
      <c r="I41" s="41">
        <v>0.7</v>
      </c>
      <c r="J41" s="41">
        <v>0.7</v>
      </c>
      <c r="K41" s="41">
        <v>0.7</v>
      </c>
      <c r="L41" s="41">
        <v>0.8</v>
      </c>
      <c r="M41" s="41">
        <v>0.8</v>
      </c>
      <c r="N41" s="41">
        <v>0.8</v>
      </c>
      <c r="O41" s="44">
        <v>0.8</v>
      </c>
      <c r="P41" s="44">
        <v>0.7</v>
      </c>
      <c r="Q41" s="44">
        <v>0.7</v>
      </c>
      <c r="R41" s="44">
        <v>0.5</v>
      </c>
      <c r="S41" s="44">
        <v>0.4</v>
      </c>
      <c r="T41" s="44">
        <v>0.4</v>
      </c>
      <c r="U41" s="44">
        <v>0.4</v>
      </c>
      <c r="V41" s="44">
        <v>0.4</v>
      </c>
      <c r="W41" s="44">
        <v>0.4</v>
      </c>
      <c r="X41" s="44">
        <v>0.4</v>
      </c>
      <c r="Y41" s="44">
        <v>0.4</v>
      </c>
      <c r="Z41" s="44">
        <v>0.4</v>
      </c>
      <c r="AA41" s="44">
        <v>0.6</v>
      </c>
      <c r="AB41" s="44">
        <v>0.7</v>
      </c>
      <c r="AC41" s="44">
        <v>0.7</v>
      </c>
      <c r="AD41" s="44">
        <v>0.8</v>
      </c>
      <c r="AE41" s="44">
        <v>0.7</v>
      </c>
      <c r="AF41" s="44">
        <v>0.7</v>
      </c>
      <c r="AG41" s="44">
        <v>0.7</v>
      </c>
      <c r="AH41" s="44">
        <v>0.7</v>
      </c>
      <c r="AI41" s="44">
        <v>0.7</v>
      </c>
    </row>
    <row r="42" spans="1:35" s="1" customFormat="1" ht="18" customHeight="1">
      <c r="B42" s="20" t="s">
        <v>74</v>
      </c>
      <c r="C42" s="21">
        <f>C36/C5</f>
        <v>0.23710370171658343</v>
      </c>
      <c r="D42" s="21">
        <f>D36/D5</f>
        <v>0.23710370171658343</v>
      </c>
      <c r="G42" s="22"/>
    </row>
    <row r="43" spans="1:35" s="1" customFormat="1" ht="18" customHeight="1">
      <c r="B43" s="23" t="s">
        <v>75</v>
      </c>
      <c r="C43" s="24">
        <f>C37/C5</f>
        <v>2.8823948516919204E-2</v>
      </c>
      <c r="D43" s="24">
        <f>D37/D5</f>
        <v>2.8823948516919204E-2</v>
      </c>
      <c r="G43" s="22"/>
    </row>
    <row r="44" spans="1:35" s="1" customFormat="1" ht="18" customHeight="1">
      <c r="B44" s="23" t="s">
        <v>76</v>
      </c>
      <c r="C44" s="24">
        <f>C38/C5</f>
        <v>5.6479085719560278E-2</v>
      </c>
      <c r="D44" s="24">
        <f>D38/D5</f>
        <v>5.6479085719560278E-2</v>
      </c>
      <c r="G44" s="22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</sheetData>
  <mergeCells count="10">
    <mergeCell ref="A16:A17"/>
    <mergeCell ref="A39:A41"/>
    <mergeCell ref="A1:B1"/>
    <mergeCell ref="C1:AI1"/>
    <mergeCell ref="A3:A5"/>
    <mergeCell ref="A6:A8"/>
    <mergeCell ref="A9:A12"/>
    <mergeCell ref="A13:A15"/>
    <mergeCell ref="A36:A38"/>
    <mergeCell ref="A19:A35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I68"/>
  <sheetViews>
    <sheetView topLeftCell="A36" zoomScale="180" zoomScaleNormal="180" workbookViewId="0">
      <pane xSplit="4" topLeftCell="W1" activePane="topRight" state="frozen"/>
      <selection pane="topRight" activeCell="A37" sqref="A37:A39"/>
    </sheetView>
  </sheetViews>
  <sheetFormatPr defaultColWidth="9" defaultRowHeight="13.5"/>
  <cols>
    <col min="1" max="1" width="8.75" style="4" customWidth="1"/>
    <col min="2" max="2" width="14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11.25" style="4" customWidth="1"/>
    <col min="35" max="35" width="9" style="4" customWidth="1"/>
    <col min="36" max="16384" width="9" style="4"/>
  </cols>
  <sheetData>
    <row r="1" spans="1:35" s="1" customFormat="1" ht="42.75" customHeight="1">
      <c r="A1" s="57">
        <v>44470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D3+'9月'!C3</f>
        <v>188370.6</v>
      </c>
      <c r="D3" s="7">
        <f t="shared" ref="D3:D9" si="0">SUM(E3:AI3)</f>
        <v>21108.9</v>
      </c>
      <c r="E3" s="7">
        <v>720.2</v>
      </c>
      <c r="F3" s="7">
        <v>720.3</v>
      </c>
      <c r="G3" s="7">
        <v>707.6</v>
      </c>
      <c r="H3" s="7">
        <v>704.7</v>
      </c>
      <c r="I3" s="7">
        <v>762.5</v>
      </c>
      <c r="J3" s="7">
        <v>764.4</v>
      </c>
      <c r="K3" s="7">
        <v>714.7</v>
      </c>
      <c r="L3" s="7">
        <v>714.8</v>
      </c>
      <c r="M3" s="7">
        <v>777.8</v>
      </c>
      <c r="N3" s="7">
        <v>760.4</v>
      </c>
      <c r="O3" s="7">
        <v>750.7</v>
      </c>
      <c r="P3" s="7">
        <v>708.1</v>
      </c>
      <c r="Q3" s="7">
        <v>732.4</v>
      </c>
      <c r="R3" s="7">
        <v>688.7</v>
      </c>
      <c r="S3" s="7">
        <v>696.5</v>
      </c>
      <c r="T3" s="7">
        <v>697</v>
      </c>
      <c r="U3" s="7">
        <v>733.3</v>
      </c>
      <c r="V3" s="7">
        <v>686.2</v>
      </c>
      <c r="W3" s="7">
        <v>631</v>
      </c>
      <c r="X3" s="7">
        <v>596.20000000000005</v>
      </c>
      <c r="Y3" s="7">
        <v>546.4</v>
      </c>
      <c r="Z3" s="7">
        <v>561.70000000000005</v>
      </c>
      <c r="AA3" s="7">
        <v>573.1</v>
      </c>
      <c r="AB3" s="7">
        <v>566.79999999999995</v>
      </c>
      <c r="AC3" s="7">
        <v>650.5</v>
      </c>
      <c r="AD3" s="7">
        <v>655.5</v>
      </c>
      <c r="AE3" s="7">
        <v>644.9</v>
      </c>
      <c r="AF3" s="7">
        <v>644.9</v>
      </c>
      <c r="AG3" s="7">
        <v>661.8</v>
      </c>
      <c r="AH3" s="7">
        <v>650.1</v>
      </c>
      <c r="AI3" s="29">
        <v>685.7</v>
      </c>
    </row>
    <row r="4" spans="1:35" s="3" customFormat="1" ht="26.25" customHeight="1">
      <c r="A4" s="51"/>
      <c r="B4" s="7" t="s">
        <v>37</v>
      </c>
      <c r="C4" s="7">
        <f>D4+'9月'!C4</f>
        <v>196643.79999999996</v>
      </c>
      <c r="D4" s="7">
        <f t="shared" si="0"/>
        <v>13103.8</v>
      </c>
      <c r="E4" s="7">
        <v>657.1</v>
      </c>
      <c r="F4" s="7">
        <v>667.8</v>
      </c>
      <c r="G4" s="7">
        <v>691.2</v>
      </c>
      <c r="H4" s="7">
        <v>617.9</v>
      </c>
      <c r="I4" s="7">
        <v>716.8</v>
      </c>
      <c r="J4" s="7">
        <v>734.5</v>
      </c>
      <c r="K4" s="7">
        <v>685.4</v>
      </c>
      <c r="L4" s="7">
        <v>659.1</v>
      </c>
      <c r="M4" s="7">
        <v>653.79999999999995</v>
      </c>
      <c r="N4" s="7">
        <v>716</v>
      </c>
      <c r="O4" s="7">
        <v>686.2</v>
      </c>
      <c r="P4" s="7">
        <v>684.8</v>
      </c>
      <c r="Q4" s="7">
        <v>652.9</v>
      </c>
      <c r="R4" s="7">
        <v>671.2</v>
      </c>
      <c r="S4" s="7">
        <v>378.2</v>
      </c>
      <c r="T4" s="7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496.8</v>
      </c>
      <c r="AF4" s="7">
        <v>693</v>
      </c>
      <c r="AG4" s="29">
        <v>666.3</v>
      </c>
      <c r="AH4" s="7">
        <v>657.3</v>
      </c>
      <c r="AI4" s="7">
        <v>717.5</v>
      </c>
    </row>
    <row r="5" spans="1:35" s="3" customFormat="1" ht="24.95" customHeight="1">
      <c r="A5" s="51"/>
      <c r="B5" s="7" t="s">
        <v>38</v>
      </c>
      <c r="C5" s="7">
        <f>D5+'9月'!C5</f>
        <v>385014.39999999997</v>
      </c>
      <c r="D5" s="7">
        <f t="shared" si="0"/>
        <v>34212.700000000004</v>
      </c>
      <c r="E5" s="7">
        <f>E3+E4</f>
        <v>1377.3000000000002</v>
      </c>
      <c r="F5" s="7">
        <f t="shared" ref="F5:AI5" si="1">F3+F4</f>
        <v>1388.1</v>
      </c>
      <c r="G5" s="7">
        <f t="shared" si="1"/>
        <v>1398.8000000000002</v>
      </c>
      <c r="H5" s="7">
        <f t="shared" si="1"/>
        <v>1322.6</v>
      </c>
      <c r="I5" s="7">
        <f t="shared" si="1"/>
        <v>1479.3</v>
      </c>
      <c r="J5" s="7">
        <f t="shared" si="1"/>
        <v>1498.9</v>
      </c>
      <c r="K5" s="7">
        <f t="shared" si="1"/>
        <v>1400.1</v>
      </c>
      <c r="L5" s="7">
        <f t="shared" si="1"/>
        <v>1373.9</v>
      </c>
      <c r="M5" s="7">
        <f t="shared" si="1"/>
        <v>1431.6</v>
      </c>
      <c r="N5" s="7">
        <f t="shared" si="1"/>
        <v>1476.4</v>
      </c>
      <c r="O5" s="7">
        <f t="shared" si="1"/>
        <v>1436.9</v>
      </c>
      <c r="P5" s="7">
        <f t="shared" si="1"/>
        <v>1392.9</v>
      </c>
      <c r="Q5" s="7">
        <f t="shared" si="1"/>
        <v>1385.3</v>
      </c>
      <c r="R5" s="7">
        <f t="shared" si="1"/>
        <v>1359.9</v>
      </c>
      <c r="S5" s="7">
        <f t="shared" si="1"/>
        <v>1074.7</v>
      </c>
      <c r="T5" s="7">
        <f t="shared" si="1"/>
        <v>697</v>
      </c>
      <c r="U5" s="7">
        <f t="shared" si="1"/>
        <v>733.3</v>
      </c>
      <c r="V5" s="7">
        <f t="shared" si="1"/>
        <v>686.2</v>
      </c>
      <c r="W5" s="7">
        <f t="shared" si="1"/>
        <v>631</v>
      </c>
      <c r="X5" s="7">
        <f t="shared" si="1"/>
        <v>596.20000000000005</v>
      </c>
      <c r="Y5" s="7">
        <f t="shared" si="1"/>
        <v>546.4</v>
      </c>
      <c r="Z5" s="7">
        <f t="shared" si="1"/>
        <v>561.70000000000005</v>
      </c>
      <c r="AA5" s="7">
        <f t="shared" si="1"/>
        <v>573.1</v>
      </c>
      <c r="AB5" s="7">
        <f t="shared" si="1"/>
        <v>566.79999999999995</v>
      </c>
      <c r="AC5" s="7">
        <f t="shared" si="1"/>
        <v>650.5</v>
      </c>
      <c r="AD5" s="7">
        <f t="shared" si="1"/>
        <v>655.5</v>
      </c>
      <c r="AE5" s="7">
        <f t="shared" si="1"/>
        <v>1141.7</v>
      </c>
      <c r="AF5" s="7">
        <f t="shared" si="1"/>
        <v>1337.9</v>
      </c>
      <c r="AG5" s="7">
        <f t="shared" si="1"/>
        <v>1328.1</v>
      </c>
      <c r="AH5" s="7">
        <f t="shared" si="1"/>
        <v>1307.4000000000001</v>
      </c>
      <c r="AI5" s="7">
        <f t="shared" si="1"/>
        <v>1403.2</v>
      </c>
    </row>
    <row r="6" spans="1:35" s="3" customFormat="1" ht="24.95" customHeight="1">
      <c r="A6" s="51" t="s">
        <v>39</v>
      </c>
      <c r="B6" s="7" t="s">
        <v>40</v>
      </c>
      <c r="C6" s="7">
        <f>D6+'9月'!C6</f>
        <v>94088000</v>
      </c>
      <c r="D6" s="7">
        <f t="shared" si="0"/>
        <v>7878000</v>
      </c>
      <c r="E6" s="7">
        <v>342000</v>
      </c>
      <c r="F6" s="7">
        <v>342000</v>
      </c>
      <c r="G6" s="7">
        <v>336000</v>
      </c>
      <c r="H6" s="7">
        <v>338000</v>
      </c>
      <c r="I6" s="7">
        <v>340000</v>
      </c>
      <c r="J6" s="7">
        <v>344000</v>
      </c>
      <c r="K6" s="7">
        <v>344000</v>
      </c>
      <c r="L6" s="7">
        <v>342000</v>
      </c>
      <c r="M6" s="7">
        <v>340000</v>
      </c>
      <c r="N6" s="7">
        <v>344000</v>
      </c>
      <c r="O6" s="7">
        <v>346000</v>
      </c>
      <c r="P6" s="26">
        <v>346000</v>
      </c>
      <c r="Q6" s="7">
        <v>342000</v>
      </c>
      <c r="R6" s="7">
        <v>344000</v>
      </c>
      <c r="S6" s="7">
        <v>282000</v>
      </c>
      <c r="T6" s="7">
        <v>0</v>
      </c>
      <c r="U6" s="26">
        <v>0</v>
      </c>
      <c r="V6" s="26">
        <v>0</v>
      </c>
      <c r="W6" s="7">
        <v>20000</v>
      </c>
      <c r="X6" s="7">
        <v>58000</v>
      </c>
      <c r="Y6" s="7">
        <v>66000</v>
      </c>
      <c r="Z6" s="7">
        <v>66000</v>
      </c>
      <c r="AA6" s="7">
        <v>68000</v>
      </c>
      <c r="AB6" s="7">
        <v>102000</v>
      </c>
      <c r="AC6" s="7">
        <v>360000</v>
      </c>
      <c r="AD6" s="7">
        <v>330000</v>
      </c>
      <c r="AE6" s="7">
        <v>306000</v>
      </c>
      <c r="AF6" s="7">
        <v>362000</v>
      </c>
      <c r="AG6" s="7">
        <v>362000</v>
      </c>
      <c r="AH6" s="7">
        <v>320000</v>
      </c>
      <c r="AI6" s="7">
        <v>386000</v>
      </c>
    </row>
    <row r="7" spans="1:35" s="3" customFormat="1" ht="24.95" customHeight="1">
      <c r="A7" s="51"/>
      <c r="B7" s="7" t="s">
        <v>41</v>
      </c>
      <c r="C7" s="7">
        <f>D7+'9月'!C7</f>
        <v>99090000</v>
      </c>
      <c r="D7" s="7">
        <f t="shared" si="0"/>
        <v>8568000</v>
      </c>
      <c r="E7" s="7">
        <v>356000</v>
      </c>
      <c r="F7" s="7">
        <v>358000</v>
      </c>
      <c r="G7" s="7">
        <v>356000</v>
      </c>
      <c r="H7" s="7">
        <v>354000</v>
      </c>
      <c r="I7" s="7">
        <v>350000</v>
      </c>
      <c r="J7" s="7">
        <v>352000</v>
      </c>
      <c r="K7" s="7">
        <v>354000</v>
      </c>
      <c r="L7" s="7">
        <v>356000</v>
      </c>
      <c r="M7" s="7">
        <v>352000</v>
      </c>
      <c r="N7" s="7">
        <v>350000</v>
      </c>
      <c r="O7" s="7">
        <v>358000</v>
      </c>
      <c r="P7" s="26">
        <v>358000</v>
      </c>
      <c r="Q7" s="7">
        <v>348000</v>
      </c>
      <c r="R7" s="7">
        <v>348000</v>
      </c>
      <c r="S7" s="7">
        <v>356000</v>
      </c>
      <c r="T7" s="7">
        <v>366000</v>
      </c>
      <c r="U7" s="7">
        <v>360000</v>
      </c>
      <c r="V7" s="7">
        <v>352000</v>
      </c>
      <c r="W7" s="7">
        <v>324000</v>
      </c>
      <c r="X7" s="7">
        <v>86000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8000</v>
      </c>
      <c r="AE7" s="7">
        <v>258000</v>
      </c>
      <c r="AF7" s="7">
        <v>372000</v>
      </c>
      <c r="AG7" s="7">
        <v>376000</v>
      </c>
      <c r="AH7" s="7">
        <v>380000</v>
      </c>
      <c r="AI7" s="26">
        <v>380000</v>
      </c>
    </row>
    <row r="8" spans="1:35" s="3" customFormat="1" ht="24.95" customHeight="1">
      <c r="A8" s="51"/>
      <c r="B8" s="7" t="s">
        <v>38</v>
      </c>
      <c r="C8" s="7">
        <f>D8+'9月'!C8</f>
        <v>193178000</v>
      </c>
      <c r="D8" s="7">
        <f t="shared" si="0"/>
        <v>16446000</v>
      </c>
      <c r="E8" s="7">
        <f>E6+E7</f>
        <v>698000</v>
      </c>
      <c r="F8" s="7">
        <f t="shared" ref="F8:AI8" si="2">F6+F7</f>
        <v>700000</v>
      </c>
      <c r="G8" s="7">
        <f t="shared" si="2"/>
        <v>692000</v>
      </c>
      <c r="H8" s="7">
        <f t="shared" si="2"/>
        <v>692000</v>
      </c>
      <c r="I8" s="7">
        <f t="shared" si="2"/>
        <v>690000</v>
      </c>
      <c r="J8" s="7">
        <f t="shared" si="2"/>
        <v>696000</v>
      </c>
      <c r="K8" s="7">
        <f t="shared" si="2"/>
        <v>698000</v>
      </c>
      <c r="L8" s="7">
        <f t="shared" si="2"/>
        <v>698000</v>
      </c>
      <c r="M8" s="7">
        <f t="shared" si="2"/>
        <v>692000</v>
      </c>
      <c r="N8" s="7">
        <f t="shared" si="2"/>
        <v>694000</v>
      </c>
      <c r="O8" s="7">
        <f t="shared" si="2"/>
        <v>704000</v>
      </c>
      <c r="P8" s="7">
        <f t="shared" si="2"/>
        <v>704000</v>
      </c>
      <c r="Q8" s="7">
        <f t="shared" si="2"/>
        <v>690000</v>
      </c>
      <c r="R8" s="7">
        <f t="shared" si="2"/>
        <v>692000</v>
      </c>
      <c r="S8" s="7">
        <f t="shared" si="2"/>
        <v>638000</v>
      </c>
      <c r="T8" s="7">
        <f t="shared" si="2"/>
        <v>366000</v>
      </c>
      <c r="U8" s="7">
        <f t="shared" si="2"/>
        <v>360000</v>
      </c>
      <c r="V8" s="7">
        <f t="shared" si="2"/>
        <v>352000</v>
      </c>
      <c r="W8" s="7">
        <f t="shared" si="2"/>
        <v>344000</v>
      </c>
      <c r="X8" s="7">
        <f t="shared" si="2"/>
        <v>144000</v>
      </c>
      <c r="Y8" s="7">
        <f t="shared" si="2"/>
        <v>66000</v>
      </c>
      <c r="Z8" s="7">
        <f t="shared" si="2"/>
        <v>66000</v>
      </c>
      <c r="AA8" s="7">
        <f t="shared" si="2"/>
        <v>68000</v>
      </c>
      <c r="AB8" s="7">
        <f t="shared" si="2"/>
        <v>102000</v>
      </c>
      <c r="AC8" s="7">
        <f t="shared" si="2"/>
        <v>360000</v>
      </c>
      <c r="AD8" s="7">
        <f t="shared" si="2"/>
        <v>338000</v>
      </c>
      <c r="AE8" s="7">
        <f t="shared" si="2"/>
        <v>564000</v>
      </c>
      <c r="AF8" s="7">
        <f t="shared" si="2"/>
        <v>734000</v>
      </c>
      <c r="AG8" s="7">
        <f t="shared" si="2"/>
        <v>738000</v>
      </c>
      <c r="AH8" s="7">
        <f t="shared" si="2"/>
        <v>700000</v>
      </c>
      <c r="AI8" s="7">
        <f t="shared" si="2"/>
        <v>766000</v>
      </c>
    </row>
    <row r="9" spans="1:35" s="3" customFormat="1" ht="24.95" customHeight="1">
      <c r="A9" s="51" t="s">
        <v>42</v>
      </c>
      <c r="B9" s="7" t="s">
        <v>38</v>
      </c>
      <c r="C9" s="7">
        <f>D9+'9月'!C9</f>
        <v>166026000</v>
      </c>
      <c r="D9" s="7">
        <f t="shared" si="0"/>
        <v>13882000</v>
      </c>
      <c r="E9" s="7">
        <v>606000</v>
      </c>
      <c r="F9" s="7">
        <v>606000</v>
      </c>
      <c r="G9" s="7">
        <v>600000</v>
      </c>
      <c r="H9" s="7">
        <v>598000</v>
      </c>
      <c r="I9" s="7">
        <v>598000</v>
      </c>
      <c r="J9" s="7">
        <v>606000</v>
      </c>
      <c r="K9" s="7">
        <v>604000</v>
      </c>
      <c r="L9" s="7">
        <v>606000</v>
      </c>
      <c r="M9" s="7">
        <v>600000</v>
      </c>
      <c r="N9" s="7">
        <v>604000</v>
      </c>
      <c r="O9" s="7">
        <v>610000</v>
      </c>
      <c r="P9" s="7">
        <v>616000</v>
      </c>
      <c r="Q9" s="7">
        <v>602000</v>
      </c>
      <c r="R9" s="7">
        <v>602000</v>
      </c>
      <c r="S9" s="7">
        <v>550000</v>
      </c>
      <c r="T9" s="7">
        <v>306000</v>
      </c>
      <c r="U9" s="7">
        <v>298000</v>
      </c>
      <c r="V9" s="7">
        <v>294000</v>
      </c>
      <c r="W9" s="7">
        <v>274000</v>
      </c>
      <c r="X9" s="7">
        <v>78000</v>
      </c>
      <c r="Y9" s="7">
        <v>0</v>
      </c>
      <c r="Z9" s="7">
        <v>0</v>
      </c>
      <c r="AA9" s="7">
        <v>0</v>
      </c>
      <c r="AB9" s="7">
        <v>36000</v>
      </c>
      <c r="AC9" s="7">
        <v>302000</v>
      </c>
      <c r="AD9" s="7">
        <v>276000</v>
      </c>
      <c r="AE9" s="7">
        <v>474000</v>
      </c>
      <c r="AF9" s="7">
        <v>628000</v>
      </c>
      <c r="AG9" s="7">
        <v>630000</v>
      </c>
      <c r="AH9" s="7">
        <v>604000</v>
      </c>
      <c r="AI9" s="7">
        <v>674000</v>
      </c>
    </row>
    <row r="10" spans="1:35" s="3" customFormat="1" ht="24.95" customHeight="1">
      <c r="A10" s="51"/>
      <c r="B10" s="6" t="s">
        <v>43</v>
      </c>
      <c r="C10" s="8">
        <f>C8/C5</f>
        <v>501.74227249682093</v>
      </c>
      <c r="D10" s="8">
        <f>D8/D5</f>
        <v>480.69868791413711</v>
      </c>
      <c r="E10" s="8">
        <f t="shared" ref="E10:AI10" si="3">E8/E5</f>
        <v>506.78864444928479</v>
      </c>
      <c r="F10" s="8">
        <f t="shared" si="3"/>
        <v>504.28643469490675</v>
      </c>
      <c r="G10" s="8">
        <f t="shared" si="3"/>
        <v>494.70975121532734</v>
      </c>
      <c r="H10" s="8">
        <f t="shared" si="3"/>
        <v>523.211855436262</v>
      </c>
      <c r="I10" s="8">
        <f t="shared" si="3"/>
        <v>466.43682822956805</v>
      </c>
      <c r="J10" s="8">
        <f t="shared" si="3"/>
        <v>464.34051637867765</v>
      </c>
      <c r="K10" s="8">
        <f t="shared" si="3"/>
        <v>498.53581887008073</v>
      </c>
      <c r="L10" s="8">
        <f t="shared" si="3"/>
        <v>508.04279787466334</v>
      </c>
      <c r="M10" s="8">
        <f t="shared" si="3"/>
        <v>483.37524448169881</v>
      </c>
      <c r="N10" s="8">
        <f t="shared" si="3"/>
        <v>470.06231373611485</v>
      </c>
      <c r="O10" s="8">
        <f t="shared" si="3"/>
        <v>489.94362864499965</v>
      </c>
      <c r="P10" s="8">
        <f t="shared" si="3"/>
        <v>505.42034604063463</v>
      </c>
      <c r="Q10" s="8">
        <f t="shared" si="3"/>
        <v>498.08705695517216</v>
      </c>
      <c r="R10" s="8">
        <f t="shared" si="3"/>
        <v>508.86094565776892</v>
      </c>
      <c r="S10" s="8">
        <f t="shared" si="3"/>
        <v>593.65404298874103</v>
      </c>
      <c r="T10" s="8">
        <f t="shared" si="3"/>
        <v>525.10760401721666</v>
      </c>
      <c r="U10" s="8">
        <f t="shared" si="3"/>
        <v>490.93140597299879</v>
      </c>
      <c r="V10" s="8">
        <f t="shared" si="3"/>
        <v>512.96997959778491</v>
      </c>
      <c r="W10" s="8">
        <f t="shared" si="3"/>
        <v>545.16640253565765</v>
      </c>
      <c r="X10" s="8">
        <f t="shared" si="3"/>
        <v>241.52968802415296</v>
      </c>
      <c r="Y10" s="8">
        <f t="shared" si="3"/>
        <v>120.79062957540265</v>
      </c>
      <c r="Z10" s="8">
        <f t="shared" si="3"/>
        <v>117.50044507744346</v>
      </c>
      <c r="AA10" s="8">
        <f t="shared" si="3"/>
        <v>118.65294015006107</v>
      </c>
      <c r="AB10" s="8">
        <f t="shared" si="3"/>
        <v>179.95765702187722</v>
      </c>
      <c r="AC10" s="8">
        <f t="shared" si="3"/>
        <v>553.42044581091466</v>
      </c>
      <c r="AD10" s="8">
        <f t="shared" si="3"/>
        <v>515.63691838291379</v>
      </c>
      <c r="AE10" s="8">
        <f t="shared" si="3"/>
        <v>494.00017517736705</v>
      </c>
      <c r="AF10" s="8">
        <f t="shared" si="3"/>
        <v>548.62097316690335</v>
      </c>
      <c r="AG10" s="8">
        <f t="shared" si="3"/>
        <v>555.68104811384694</v>
      </c>
      <c r="AH10" s="8">
        <f t="shared" si="3"/>
        <v>535.41379837846102</v>
      </c>
      <c r="AI10" s="8">
        <f t="shared" si="3"/>
        <v>545.89509692132265</v>
      </c>
    </row>
    <row r="11" spans="1:35" s="3" customFormat="1" ht="24.95" customHeight="1">
      <c r="A11" s="51"/>
      <c r="B11" s="9" t="s">
        <v>44</v>
      </c>
      <c r="C11" s="8">
        <f>(C8-C16)/C5</f>
        <v>431.21504026862374</v>
      </c>
      <c r="D11" s="8">
        <f>(D8-D16)/D5</f>
        <v>405.75575736495506</v>
      </c>
      <c r="E11" s="8">
        <f>(E8-E16)/E5</f>
        <v>439.99128730124153</v>
      </c>
      <c r="F11" s="8">
        <f>(F8-F16)/F5</f>
        <v>436.56797060730497</v>
      </c>
      <c r="G11" s="8">
        <f>(G8-G16)/G5</f>
        <v>428.93909064912776</v>
      </c>
      <c r="H11" s="8">
        <f>(H8-H16)/H5</f>
        <v>452.13972478451535</v>
      </c>
      <c r="I11" s="8">
        <f>(I8-I16)/I5</f>
        <v>404.24525113229231</v>
      </c>
      <c r="J11" s="8">
        <f>(J8-J16)/J5</f>
        <v>404.2964840883314</v>
      </c>
      <c r="K11" s="8">
        <f>(K8-K16)/K5</f>
        <v>431.39775730304979</v>
      </c>
      <c r="L11" s="8">
        <f>(L8-L16)/L5</f>
        <v>441.0801368367421</v>
      </c>
      <c r="M11" s="8">
        <f>(M8-M16)/M5</f>
        <v>419.11148365465215</v>
      </c>
      <c r="N11" s="8">
        <f>(N8-N16)/N5</f>
        <v>409.10322405852071</v>
      </c>
      <c r="O11" s="8">
        <f>(O8-O16)/O5</f>
        <v>424.52501913842298</v>
      </c>
      <c r="P11" s="8">
        <f>(P8-P16)/P5</f>
        <v>442.24280278555528</v>
      </c>
      <c r="Q11" s="8">
        <f>(Q8-Q16)/Q5</f>
        <v>434.56291056088935</v>
      </c>
      <c r="R11" s="8">
        <f>(R8-R16)/R5</f>
        <v>442.67960879476431</v>
      </c>
      <c r="S11" s="8">
        <f>(S8-S16)/S5</f>
        <v>511.77072671443193</v>
      </c>
      <c r="T11" s="8">
        <f>(T8-T16)/T5</f>
        <v>439.02439024390242</v>
      </c>
      <c r="U11" s="8">
        <f>(U8-U16)/U5</f>
        <v>406.38210827764902</v>
      </c>
      <c r="V11" s="8">
        <f>(V8-V16)/V5</f>
        <v>428.44651705042259</v>
      </c>
      <c r="W11" s="8">
        <f>(W8-W16)/W5</f>
        <v>434.23137876386687</v>
      </c>
      <c r="X11" s="8">
        <f>(X8-X16)/X5</f>
        <v>130.82858101308284</v>
      </c>
      <c r="Y11" s="8">
        <f>(Y8-Y16)/Y5</f>
        <v>0</v>
      </c>
      <c r="Z11" s="8">
        <f>(Z8-Z16)/Z5</f>
        <v>0</v>
      </c>
      <c r="AA11" s="8">
        <f>(AA8-AA16)/AA5</f>
        <v>0</v>
      </c>
      <c r="AB11" s="8">
        <f>(AB8-AB16)/AB5</f>
        <v>63.514467184191957</v>
      </c>
      <c r="AC11" s="8">
        <f>(AC8-AC16)/AC5</f>
        <v>464.25826287471176</v>
      </c>
      <c r="AD11" s="8">
        <f>(AD8-AD16)/AD5</f>
        <v>421.05263157894734</v>
      </c>
      <c r="AE11" s="8">
        <f>(AE8-AE16)/AE5</f>
        <v>415.17035998948933</v>
      </c>
      <c r="AF11" s="8">
        <f>(AF8-AF16)/AF5</f>
        <v>469.39233126541592</v>
      </c>
      <c r="AG11" s="8">
        <f>(AG8-AG16)/AG5</f>
        <v>474.36187034108883</v>
      </c>
      <c r="AH11" s="8">
        <f>(AH8-AH16)/AH5</f>
        <v>461.98562031512921</v>
      </c>
      <c r="AI11" s="8">
        <f>(AI8-AI16)/AI5</f>
        <v>480.33067274800453</v>
      </c>
    </row>
    <row r="12" spans="1:35" s="3" customFormat="1" ht="24.95" customHeight="1">
      <c r="A12" s="51"/>
      <c r="B12" s="6" t="s">
        <v>45</v>
      </c>
      <c r="C12" s="8">
        <f>D12+'9月'!C12</f>
        <v>443176.63599999994</v>
      </c>
      <c r="D12" s="8">
        <f t="shared" ref="D12:D17" si="4">SUM(E12:AI12)</f>
        <v>41284.959999999992</v>
      </c>
      <c r="E12" s="7">
        <v>1656.62</v>
      </c>
      <c r="F12" s="7">
        <v>1625</v>
      </c>
      <c r="G12" s="7">
        <v>1504.86</v>
      </c>
      <c r="H12" s="7">
        <v>1505.16</v>
      </c>
      <c r="I12" s="7">
        <v>1470.1</v>
      </c>
      <c r="J12" s="7">
        <v>1481.4</v>
      </c>
      <c r="K12" s="7">
        <v>1593.7</v>
      </c>
      <c r="L12" s="7">
        <v>1502.64</v>
      </c>
      <c r="M12" s="7">
        <v>1360.94</v>
      </c>
      <c r="N12" s="7">
        <v>1392.74</v>
      </c>
      <c r="O12" s="7">
        <v>1466.88</v>
      </c>
      <c r="P12" s="7">
        <v>1415.7</v>
      </c>
      <c r="Q12" s="7">
        <v>1316.42</v>
      </c>
      <c r="R12" s="7">
        <v>1364.6</v>
      </c>
      <c r="S12" s="7">
        <v>1506.46</v>
      </c>
      <c r="T12" s="7">
        <v>1499.28</v>
      </c>
      <c r="U12" s="7">
        <v>1426.98</v>
      </c>
      <c r="V12" s="7">
        <v>1376.16</v>
      </c>
      <c r="W12" s="7">
        <v>1424.38</v>
      </c>
      <c r="X12" s="7">
        <v>952.2</v>
      </c>
      <c r="Y12" s="7">
        <v>1044.28</v>
      </c>
      <c r="Z12" s="7">
        <v>948.82</v>
      </c>
      <c r="AA12" s="7">
        <v>838.88</v>
      </c>
      <c r="AB12" s="7">
        <v>871.42</v>
      </c>
      <c r="AC12" s="7">
        <v>951.08</v>
      </c>
      <c r="AD12" s="12">
        <v>1004.76</v>
      </c>
      <c r="AE12" s="12">
        <v>975.1</v>
      </c>
      <c r="AF12" s="7">
        <v>1449.04</v>
      </c>
      <c r="AG12" s="7">
        <v>1430.7</v>
      </c>
      <c r="AH12" s="7">
        <v>1534.56</v>
      </c>
      <c r="AI12" s="7">
        <v>1394.1</v>
      </c>
    </row>
    <row r="13" spans="1:35" s="3" customFormat="1" ht="24.95" customHeight="1">
      <c r="A13" s="52" t="s">
        <v>46</v>
      </c>
      <c r="B13" s="6" t="s">
        <v>36</v>
      </c>
      <c r="C13" s="8">
        <f>D13+'9月'!C13</f>
        <v>430900</v>
      </c>
      <c r="D13" s="10">
        <f t="shared" si="4"/>
        <v>48990</v>
      </c>
      <c r="E13" s="7">
        <f>554+548+555</f>
        <v>1657</v>
      </c>
      <c r="F13" s="7">
        <f>547+556+557</f>
        <v>1660</v>
      </c>
      <c r="G13" s="7">
        <f>544+542+557</f>
        <v>1643</v>
      </c>
      <c r="H13" s="7">
        <f>557+542+545</f>
        <v>1644</v>
      </c>
      <c r="I13" s="7">
        <f>542+541+553</f>
        <v>1636</v>
      </c>
      <c r="J13" s="7">
        <f>556+540+555</f>
        <v>1651</v>
      </c>
      <c r="K13" s="7">
        <f>554+569+555</f>
        <v>1678</v>
      </c>
      <c r="L13" s="7">
        <f>514+581+541</f>
        <v>1636</v>
      </c>
      <c r="M13" s="27">
        <f>536+572+532</f>
        <v>1640</v>
      </c>
      <c r="N13" s="7">
        <f>564+540+555</f>
        <v>1659</v>
      </c>
      <c r="O13" s="7">
        <f>529+546+562</f>
        <v>1637</v>
      </c>
      <c r="P13" s="27">
        <f>563+543+530</f>
        <v>1636</v>
      </c>
      <c r="Q13" s="7">
        <f>552+534+533</f>
        <v>1619</v>
      </c>
      <c r="R13" s="7">
        <f>557+524+535</f>
        <v>1616</v>
      </c>
      <c r="S13" s="7">
        <f>563+545+530</f>
        <v>1638</v>
      </c>
      <c r="T13" s="7">
        <f>537+579+553</f>
        <v>1669</v>
      </c>
      <c r="U13" s="7">
        <f>535+546+538</f>
        <v>1619</v>
      </c>
      <c r="V13" s="7">
        <f>539+530+532</f>
        <v>1601</v>
      </c>
      <c r="W13" s="7">
        <f>545+525+506</f>
        <v>1576</v>
      </c>
      <c r="X13" s="7">
        <f>520+414+430</f>
        <v>1364</v>
      </c>
      <c r="Y13" s="7">
        <f>405+480+454</f>
        <v>1339</v>
      </c>
      <c r="Z13" s="7">
        <f>441+456+456</f>
        <v>1353</v>
      </c>
      <c r="AA13" s="7">
        <f>443+452+438</f>
        <v>1333</v>
      </c>
      <c r="AB13" s="7">
        <f>450+454+481</f>
        <v>1385</v>
      </c>
      <c r="AC13" s="7">
        <f>530+536+543</f>
        <v>1609</v>
      </c>
      <c r="AD13" s="7">
        <f>531+510+524</f>
        <v>1565</v>
      </c>
      <c r="AE13" s="7">
        <f>525+504+525</f>
        <v>1554</v>
      </c>
      <c r="AF13" s="7">
        <f>527+488+564</f>
        <v>1579</v>
      </c>
      <c r="AG13" s="7">
        <f>536+537+530</f>
        <v>1603</v>
      </c>
      <c r="AH13" s="7">
        <f>470+526+548</f>
        <v>1544</v>
      </c>
      <c r="AI13" s="7">
        <f>551+544+552</f>
        <v>1647</v>
      </c>
    </row>
    <row r="14" spans="1:35" s="3" customFormat="1" ht="24.95" customHeight="1">
      <c r="A14" s="55"/>
      <c r="B14" s="6" t="s">
        <v>37</v>
      </c>
      <c r="C14" s="8">
        <f>D14+'9月'!C14</f>
        <v>447206</v>
      </c>
      <c r="D14" s="10">
        <f t="shared" si="4"/>
        <v>30181</v>
      </c>
      <c r="E14" s="7">
        <f>514+507+515</f>
        <v>1536</v>
      </c>
      <c r="F14" s="7">
        <f>516+512+500</f>
        <v>1528</v>
      </c>
      <c r="G14" s="7">
        <f>517+498+480</f>
        <v>1495</v>
      </c>
      <c r="H14" s="7">
        <f>520+503+502</f>
        <v>1525</v>
      </c>
      <c r="I14" s="7">
        <f>505+510+494</f>
        <v>1509</v>
      </c>
      <c r="J14" s="7">
        <f>492+521+518</f>
        <v>1531</v>
      </c>
      <c r="K14" s="7">
        <f>495+500+506</f>
        <v>1501</v>
      </c>
      <c r="L14" s="7">
        <f>507+507+500</f>
        <v>1514</v>
      </c>
      <c r="M14" s="27">
        <f>501+506+494</f>
        <v>1501</v>
      </c>
      <c r="N14" s="7">
        <f>512+501+503</f>
        <v>1516</v>
      </c>
      <c r="O14" s="7">
        <f>517+514+511</f>
        <v>1542</v>
      </c>
      <c r="P14" s="27">
        <f>510+508+496</f>
        <v>1514</v>
      </c>
      <c r="Q14" s="7">
        <f>514+506+496</f>
        <v>1516</v>
      </c>
      <c r="R14" s="7">
        <f>526+487+504</f>
        <v>1517</v>
      </c>
      <c r="S14" s="7">
        <f>505+502+223</f>
        <v>1230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f>474+542</f>
        <v>1016</v>
      </c>
      <c r="AF14" s="7">
        <f>569+553+558</f>
        <v>1680</v>
      </c>
      <c r="AG14" s="7">
        <f>544+552+577</f>
        <v>1673</v>
      </c>
      <c r="AH14" s="7">
        <f>453+564+586</f>
        <v>1603</v>
      </c>
      <c r="AI14" s="7">
        <f>570+580+584</f>
        <v>1734</v>
      </c>
    </row>
    <row r="15" spans="1:35" s="3" customFormat="1" ht="24" customHeight="1">
      <c r="A15" s="56"/>
      <c r="B15" s="7" t="s">
        <v>38</v>
      </c>
      <c r="C15" s="8">
        <f>D15+'9月'!C15</f>
        <v>878106</v>
      </c>
      <c r="D15" s="7">
        <f t="shared" si="4"/>
        <v>79171</v>
      </c>
      <c r="E15" s="7">
        <f>E13+E14</f>
        <v>3193</v>
      </c>
      <c r="F15" s="7">
        <f t="shared" ref="F15:AI15" si="5">F13+F14</f>
        <v>3188</v>
      </c>
      <c r="G15" s="7">
        <f t="shared" si="5"/>
        <v>3138</v>
      </c>
      <c r="H15" s="7">
        <f t="shared" si="5"/>
        <v>3169</v>
      </c>
      <c r="I15" s="7">
        <f t="shared" si="5"/>
        <v>3145</v>
      </c>
      <c r="J15" s="7">
        <f t="shared" si="5"/>
        <v>3182</v>
      </c>
      <c r="K15" s="7">
        <f t="shared" si="5"/>
        <v>3179</v>
      </c>
      <c r="L15" s="7">
        <f t="shared" si="5"/>
        <v>3150</v>
      </c>
      <c r="M15" s="7">
        <f t="shared" si="5"/>
        <v>3141</v>
      </c>
      <c r="N15" s="7">
        <f t="shared" si="5"/>
        <v>3175</v>
      </c>
      <c r="O15" s="7">
        <f t="shared" si="5"/>
        <v>3179</v>
      </c>
      <c r="P15" s="7">
        <f t="shared" si="5"/>
        <v>3150</v>
      </c>
      <c r="Q15" s="7">
        <f t="shared" si="5"/>
        <v>3135</v>
      </c>
      <c r="R15" s="7">
        <f t="shared" si="5"/>
        <v>3133</v>
      </c>
      <c r="S15" s="7">
        <f t="shared" si="5"/>
        <v>2868</v>
      </c>
      <c r="T15" s="7">
        <f t="shared" si="5"/>
        <v>1669</v>
      </c>
      <c r="U15" s="7">
        <f t="shared" si="5"/>
        <v>1619</v>
      </c>
      <c r="V15" s="7">
        <f t="shared" si="5"/>
        <v>1601</v>
      </c>
      <c r="W15" s="7">
        <f t="shared" si="5"/>
        <v>1576</v>
      </c>
      <c r="X15" s="7">
        <f t="shared" si="5"/>
        <v>1364</v>
      </c>
      <c r="Y15" s="7">
        <f t="shared" si="5"/>
        <v>1339</v>
      </c>
      <c r="Z15" s="7">
        <f t="shared" si="5"/>
        <v>1353</v>
      </c>
      <c r="AA15" s="7">
        <f t="shared" si="5"/>
        <v>1333</v>
      </c>
      <c r="AB15" s="7">
        <f t="shared" si="5"/>
        <v>1385</v>
      </c>
      <c r="AC15" s="7">
        <f t="shared" si="5"/>
        <v>1609</v>
      </c>
      <c r="AD15" s="7">
        <f t="shared" si="5"/>
        <v>1565</v>
      </c>
      <c r="AE15" s="7">
        <f t="shared" si="5"/>
        <v>2570</v>
      </c>
      <c r="AF15" s="7">
        <f t="shared" si="5"/>
        <v>3259</v>
      </c>
      <c r="AG15" s="7">
        <f t="shared" si="5"/>
        <v>3276</v>
      </c>
      <c r="AH15" s="7">
        <f t="shared" si="5"/>
        <v>3147</v>
      </c>
      <c r="AI15" s="7">
        <f t="shared" si="5"/>
        <v>3381</v>
      </c>
    </row>
    <row r="16" spans="1:35" s="3" customFormat="1" ht="24.95" customHeight="1">
      <c r="A16" s="51" t="s">
        <v>47</v>
      </c>
      <c r="B16" s="7" t="s">
        <v>38</v>
      </c>
      <c r="C16" s="8">
        <f>D16+'9月'!C16</f>
        <v>27154000</v>
      </c>
      <c r="D16" s="7">
        <f t="shared" si="4"/>
        <v>2564000</v>
      </c>
      <c r="E16" s="7">
        <v>92000</v>
      </c>
      <c r="F16" s="7">
        <v>94000</v>
      </c>
      <c r="G16" s="7">
        <v>92000</v>
      </c>
      <c r="H16" s="7">
        <v>94000</v>
      </c>
      <c r="I16" s="7">
        <v>92000</v>
      </c>
      <c r="J16" s="7">
        <v>90000</v>
      </c>
      <c r="K16" s="7">
        <v>94000</v>
      </c>
      <c r="L16" s="7">
        <v>92000</v>
      </c>
      <c r="M16" s="7">
        <v>92000</v>
      </c>
      <c r="N16" s="7">
        <v>90000</v>
      </c>
      <c r="O16" s="7">
        <v>94000</v>
      </c>
      <c r="P16" s="7">
        <v>88000</v>
      </c>
      <c r="Q16" s="7">
        <v>88000</v>
      </c>
      <c r="R16" s="7">
        <v>90000</v>
      </c>
      <c r="S16" s="7">
        <v>88000</v>
      </c>
      <c r="T16" s="7">
        <v>60000</v>
      </c>
      <c r="U16" s="7">
        <v>62000</v>
      </c>
      <c r="V16" s="7">
        <v>58000</v>
      </c>
      <c r="W16" s="7">
        <v>70000</v>
      </c>
      <c r="X16" s="7">
        <v>66000</v>
      </c>
      <c r="Y16" s="7">
        <v>66000</v>
      </c>
      <c r="Z16" s="7">
        <v>66000</v>
      </c>
      <c r="AA16" s="7">
        <v>68000</v>
      </c>
      <c r="AB16" s="7">
        <v>66000</v>
      </c>
      <c r="AC16" s="7">
        <v>58000</v>
      </c>
      <c r="AD16" s="7">
        <v>62000</v>
      </c>
      <c r="AE16" s="7">
        <v>90000</v>
      </c>
      <c r="AF16" s="7">
        <v>106000</v>
      </c>
      <c r="AG16" s="7">
        <v>108000</v>
      </c>
      <c r="AH16" s="7">
        <v>96000</v>
      </c>
      <c r="AI16" s="7">
        <v>92000</v>
      </c>
    </row>
    <row r="17" spans="1:35" s="3" customFormat="1" ht="24.95" customHeight="1">
      <c r="A17" s="51"/>
      <c r="B17" s="7" t="s">
        <v>77</v>
      </c>
      <c r="C17" s="8">
        <f>D17+'9月'!C17</f>
        <v>1475575</v>
      </c>
      <c r="D17" s="7">
        <f t="shared" si="4"/>
        <v>144720</v>
      </c>
      <c r="E17" s="7">
        <v>3780</v>
      </c>
      <c r="F17" s="7">
        <v>4080</v>
      </c>
      <c r="G17" s="7">
        <v>3855</v>
      </c>
      <c r="H17" s="7">
        <v>3180</v>
      </c>
      <c r="I17" s="7">
        <v>3225</v>
      </c>
      <c r="J17" s="7">
        <v>3195</v>
      </c>
      <c r="K17" s="7">
        <v>3675</v>
      </c>
      <c r="L17" s="7">
        <v>4245</v>
      </c>
      <c r="M17" s="7">
        <v>4125</v>
      </c>
      <c r="N17" s="7">
        <v>3210</v>
      </c>
      <c r="O17" s="7">
        <v>2940</v>
      </c>
      <c r="P17" s="7">
        <v>2760</v>
      </c>
      <c r="Q17" s="7">
        <v>2595</v>
      </c>
      <c r="R17" s="7">
        <v>2325</v>
      </c>
      <c r="S17" s="7">
        <v>3075</v>
      </c>
      <c r="T17" s="7">
        <v>3375</v>
      </c>
      <c r="U17" s="7">
        <v>3870</v>
      </c>
      <c r="V17" s="7">
        <v>4050</v>
      </c>
      <c r="W17" s="7">
        <v>5295</v>
      </c>
      <c r="X17" s="7">
        <v>5940</v>
      </c>
      <c r="Y17" s="7">
        <v>5925</v>
      </c>
      <c r="Z17" s="7">
        <v>6090</v>
      </c>
      <c r="AA17" s="7">
        <v>4755</v>
      </c>
      <c r="AB17" s="7">
        <v>6000</v>
      </c>
      <c r="AC17" s="7">
        <v>6210</v>
      </c>
      <c r="AD17" s="7">
        <v>6300</v>
      </c>
      <c r="AE17" s="7">
        <v>8280</v>
      </c>
      <c r="AF17" s="7">
        <v>7320</v>
      </c>
      <c r="AG17" s="7">
        <v>7575</v>
      </c>
      <c r="AH17" s="7">
        <v>7470</v>
      </c>
      <c r="AI17" s="7">
        <v>6000</v>
      </c>
    </row>
    <row r="18" spans="1:35" s="3" customFormat="1" ht="24.95" customHeight="1">
      <c r="A18" s="51"/>
      <c r="B18" s="6" t="s">
        <v>48</v>
      </c>
      <c r="C18" s="11">
        <f>SUM(C16/C8)</f>
        <v>0.14056466057211484</v>
      </c>
      <c r="D18" s="11">
        <f>SUM(D16/D8)</f>
        <v>0.15590417122704608</v>
      </c>
      <c r="E18" s="11">
        <f>SUM(E16/E8)</f>
        <v>0.1318051575931232</v>
      </c>
      <c r="F18" s="11">
        <f>SUM(F16/F8)</f>
        <v>0.13428571428571429</v>
      </c>
      <c r="G18" s="11">
        <f>SUM(G16/G8)</f>
        <v>0.13294797687861271</v>
      </c>
      <c r="H18" s="11">
        <f>SUM(H16/H8)</f>
        <v>0.13583815028901733</v>
      </c>
      <c r="I18" s="11">
        <f>SUM(I16/I8)</f>
        <v>0.13333333333333333</v>
      </c>
      <c r="J18" s="11">
        <f>SUM(J16/J8)</f>
        <v>0.12931034482758622</v>
      </c>
      <c r="K18" s="11">
        <f>SUM(K16/K8)</f>
        <v>0.1346704871060172</v>
      </c>
      <c r="L18" s="11">
        <f>SUM(L16/L8)</f>
        <v>0.1318051575931232</v>
      </c>
      <c r="M18" s="11">
        <f>SUM(M16/M8)</f>
        <v>0.13294797687861271</v>
      </c>
      <c r="N18" s="11">
        <f>SUM(N16/N8)</f>
        <v>0.12968299711815562</v>
      </c>
      <c r="O18" s="11">
        <f>SUM(O16/O8)</f>
        <v>0.13352272727272727</v>
      </c>
      <c r="P18" s="11">
        <f>SUM(P16/P8)</f>
        <v>0.125</v>
      </c>
      <c r="Q18" s="11">
        <f>SUM(Q16/Q8)</f>
        <v>0.12753623188405797</v>
      </c>
      <c r="R18" s="11">
        <f>SUM(R16/R8)</f>
        <v>0.13005780346820808</v>
      </c>
      <c r="S18" s="11">
        <f>SUM(S16/S8)</f>
        <v>0.13793103448275862</v>
      </c>
      <c r="T18" s="11">
        <f>SUM(T16/T8)</f>
        <v>0.16393442622950818</v>
      </c>
      <c r="U18" s="11">
        <f>SUM(U16/U8)</f>
        <v>0.17222222222222222</v>
      </c>
      <c r="V18" s="11">
        <f>SUM(V16/V8)</f>
        <v>0.16477272727272727</v>
      </c>
      <c r="W18" s="11">
        <f>SUM(W16/W8)</f>
        <v>0.20348837209302326</v>
      </c>
      <c r="X18" s="11">
        <f>SUM(X16/X8)</f>
        <v>0.45833333333333331</v>
      </c>
      <c r="Y18" s="11">
        <f>SUM(Y16/Y8)</f>
        <v>1</v>
      </c>
      <c r="Z18" s="11">
        <f>SUM(Z16/Z8)</f>
        <v>1</v>
      </c>
      <c r="AA18" s="11">
        <f>SUM(AA16/AA8)</f>
        <v>1</v>
      </c>
      <c r="AB18" s="11">
        <f>SUM(AB16/AB8)</f>
        <v>0.6470588235294118</v>
      </c>
      <c r="AC18" s="11">
        <f>SUM(AC16/AC8)</f>
        <v>0.16111111111111112</v>
      </c>
      <c r="AD18" s="11">
        <f>SUM(AD16/AD8)</f>
        <v>0.18343195266272189</v>
      </c>
      <c r="AE18" s="11">
        <f>SUM(AE16/AE8)</f>
        <v>0.15957446808510639</v>
      </c>
      <c r="AF18" s="11">
        <f>SUM(AF16/AF8)</f>
        <v>0.1444141689373297</v>
      </c>
      <c r="AG18" s="11">
        <f>SUM(AG16/AG8)</f>
        <v>0.14634146341463414</v>
      </c>
      <c r="AH18" s="11">
        <f>SUM(AH16/AH8)</f>
        <v>0.13714285714285715</v>
      </c>
      <c r="AI18" s="11">
        <f>SUM(AI16/AI8)</f>
        <v>0.12010443864229765</v>
      </c>
    </row>
    <row r="19" spans="1:35" s="3" customFormat="1" ht="24.95" customHeight="1">
      <c r="A19" s="13"/>
      <c r="B19" s="13" t="s">
        <v>49</v>
      </c>
      <c r="C19" s="7">
        <f>D19+'9月'!C19</f>
        <v>123</v>
      </c>
      <c r="D19" s="7">
        <f t="shared" ref="D19" si="6">COUNT(E19:AI19)</f>
        <v>31</v>
      </c>
      <c r="E19" s="14">
        <v>19900</v>
      </c>
      <c r="F19" s="14">
        <v>20000</v>
      </c>
      <c r="G19" s="14">
        <v>20000</v>
      </c>
      <c r="H19" s="14">
        <v>20000</v>
      </c>
      <c r="I19" s="14">
        <v>20000</v>
      </c>
      <c r="J19" s="14">
        <v>19700</v>
      </c>
      <c r="K19" s="14">
        <v>19800</v>
      </c>
      <c r="L19" s="14">
        <v>19800</v>
      </c>
      <c r="M19" s="7">
        <v>19600</v>
      </c>
      <c r="N19" s="7">
        <v>19400</v>
      </c>
      <c r="O19" s="7">
        <v>19100</v>
      </c>
      <c r="P19" s="7">
        <v>19000</v>
      </c>
      <c r="Q19" s="7">
        <v>18600</v>
      </c>
      <c r="R19" s="7">
        <v>18600</v>
      </c>
      <c r="S19" s="7">
        <v>18800</v>
      </c>
      <c r="T19" s="7">
        <v>19500</v>
      </c>
      <c r="U19" s="7">
        <v>19800</v>
      </c>
      <c r="V19" s="7">
        <v>20000</v>
      </c>
      <c r="W19" s="7">
        <v>20600</v>
      </c>
      <c r="X19" s="7">
        <v>20800</v>
      </c>
      <c r="Y19" s="7">
        <v>21200</v>
      </c>
      <c r="Z19" s="7">
        <v>21400</v>
      </c>
      <c r="AA19" s="7">
        <v>21600</v>
      </c>
      <c r="AB19" s="7">
        <v>21800</v>
      </c>
      <c r="AC19" s="7">
        <v>21900</v>
      </c>
      <c r="AD19" s="7">
        <v>22000</v>
      </c>
      <c r="AE19" s="7">
        <v>21700</v>
      </c>
      <c r="AF19" s="7">
        <v>21700</v>
      </c>
      <c r="AG19" s="7">
        <v>21600</v>
      </c>
      <c r="AH19" s="7">
        <v>21700</v>
      </c>
      <c r="AI19" s="7">
        <v>21600</v>
      </c>
    </row>
    <row r="20" spans="1:35" s="3" customFormat="1" ht="24.95" customHeight="1">
      <c r="A20" s="62" t="s">
        <v>50</v>
      </c>
      <c r="B20" s="13" t="s">
        <v>51</v>
      </c>
      <c r="C20" s="7">
        <f>D20+'9月'!C20</f>
        <v>86135.38</v>
      </c>
      <c r="D20" s="7">
        <f t="shared" ref="D20:D33" si="7">SUM(E20:AI20)</f>
        <v>7459.0399999999991</v>
      </c>
      <c r="E20" s="7">
        <v>351.44</v>
      </c>
      <c r="F20" s="15">
        <v>356.4</v>
      </c>
      <c r="G20" s="15">
        <v>317.77999999999997</v>
      </c>
      <c r="H20" s="15">
        <v>288.36</v>
      </c>
      <c r="I20" s="15">
        <v>314.66000000000003</v>
      </c>
      <c r="J20" s="15">
        <v>307.45999999999998</v>
      </c>
      <c r="K20" s="15">
        <v>355</v>
      </c>
      <c r="L20" s="15">
        <v>283.06</v>
      </c>
      <c r="M20" s="15">
        <v>283.56</v>
      </c>
      <c r="N20" s="15">
        <v>330.14</v>
      </c>
      <c r="O20" s="15">
        <v>425.14</v>
      </c>
      <c r="P20" s="15">
        <v>323.39999999999998</v>
      </c>
      <c r="Q20" s="15">
        <v>266.3</v>
      </c>
      <c r="R20" s="17">
        <v>357.32</v>
      </c>
      <c r="S20" s="15">
        <v>286.8</v>
      </c>
      <c r="T20" s="15">
        <v>306.77999999999997</v>
      </c>
      <c r="U20" s="15">
        <v>235.7</v>
      </c>
      <c r="V20" s="15">
        <v>299.27999999999997</v>
      </c>
      <c r="W20" s="15">
        <v>321.16000000000003</v>
      </c>
      <c r="X20" s="15">
        <v>79.98</v>
      </c>
      <c r="Y20" s="15"/>
      <c r="Z20" s="15"/>
      <c r="AA20" s="15"/>
      <c r="AB20" s="15"/>
      <c r="AC20" s="15"/>
      <c r="AD20" s="15"/>
      <c r="AE20" s="15">
        <v>126.02</v>
      </c>
      <c r="AF20" s="15">
        <v>294.3</v>
      </c>
      <c r="AG20" s="15">
        <v>350.42</v>
      </c>
      <c r="AH20" s="15">
        <v>276.10000000000002</v>
      </c>
      <c r="AI20" s="15">
        <v>322.48</v>
      </c>
    </row>
    <row r="21" spans="1:35" s="3" customFormat="1" ht="24.95" customHeight="1">
      <c r="A21" s="63"/>
      <c r="B21" s="16" t="s">
        <v>79</v>
      </c>
      <c r="C21" s="7">
        <f>D21+'9月'!C21</f>
        <v>9043.06</v>
      </c>
      <c r="D21" s="7">
        <f t="shared" si="7"/>
        <v>1360.32</v>
      </c>
      <c r="E21" s="17">
        <v>163.13999999999999</v>
      </c>
      <c r="F21" s="15">
        <v>144.66</v>
      </c>
      <c r="G21" s="15">
        <v>143</v>
      </c>
      <c r="H21" s="15">
        <v>167.78</v>
      </c>
      <c r="I21" s="15">
        <v>164.62</v>
      </c>
      <c r="J21" s="15">
        <v>144.63999999999999</v>
      </c>
      <c r="K21" s="15">
        <v>150.24</v>
      </c>
      <c r="L21" s="15">
        <v>128.52000000000001</v>
      </c>
      <c r="M21" s="15">
        <v>153.72</v>
      </c>
      <c r="N21" s="15"/>
      <c r="O21" s="15"/>
      <c r="P21" s="15"/>
      <c r="Q21" s="15"/>
      <c r="R21" s="1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3"/>
      <c r="B22" s="16" t="s">
        <v>53</v>
      </c>
      <c r="C22" s="7">
        <f>D22+'9月'!C22</f>
        <v>0</v>
      </c>
      <c r="D22" s="7">
        <f t="shared" si="7"/>
        <v>0</v>
      </c>
      <c r="E22" s="17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4.95" customHeight="1">
      <c r="A23" s="63"/>
      <c r="B23" s="13" t="s">
        <v>54</v>
      </c>
      <c r="C23" s="7">
        <f>D23+'9月'!C23</f>
        <v>2536.52</v>
      </c>
      <c r="D23" s="7">
        <f t="shared" si="7"/>
        <v>0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3" t="s">
        <v>55</v>
      </c>
      <c r="C24" s="7">
        <f>D24+'9月'!C24</f>
        <v>2890.84</v>
      </c>
      <c r="D24" s="7">
        <f t="shared" si="7"/>
        <v>0</v>
      </c>
      <c r="E24" s="17"/>
      <c r="F24" s="15"/>
      <c r="G24" s="15"/>
      <c r="H24" s="15"/>
      <c r="I24" s="17"/>
      <c r="J24" s="17"/>
      <c r="K24" s="15"/>
      <c r="L24" s="17"/>
      <c r="M24" s="15"/>
      <c r="N24" s="15"/>
      <c r="O24" s="15"/>
      <c r="P24" s="17"/>
      <c r="Q24" s="15"/>
      <c r="R24" s="17"/>
      <c r="S24" s="15"/>
      <c r="T24" s="17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7"/>
      <c r="AI24" s="15"/>
    </row>
    <row r="25" spans="1:35" s="3" customFormat="1" ht="22.15" customHeight="1">
      <c r="A25" s="63"/>
      <c r="B25" s="18" t="s">
        <v>52</v>
      </c>
      <c r="C25" s="7">
        <f>D25+'9月'!C25</f>
        <v>325.5</v>
      </c>
      <c r="D25" s="7">
        <f t="shared" si="7"/>
        <v>325.5</v>
      </c>
      <c r="E25" s="17"/>
      <c r="F25" s="15"/>
      <c r="G25" s="15"/>
      <c r="H25" s="15"/>
      <c r="I25" s="17"/>
      <c r="J25" s="17"/>
      <c r="K25" s="15"/>
      <c r="L25" s="17"/>
      <c r="M25" s="15"/>
      <c r="N25" s="15"/>
      <c r="O25" s="15"/>
      <c r="P25" s="17"/>
      <c r="Q25" s="15"/>
      <c r="R25" s="17"/>
      <c r="S25" s="15"/>
      <c r="T25" s="17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>
        <v>7.98</v>
      </c>
      <c r="AF25" s="15">
        <v>82.08</v>
      </c>
      <c r="AG25" s="15">
        <v>91.58</v>
      </c>
      <c r="AH25" s="17">
        <v>74.92</v>
      </c>
      <c r="AI25" s="15">
        <v>68.94</v>
      </c>
    </row>
    <row r="26" spans="1:35" s="3" customFormat="1" ht="22.15" customHeight="1">
      <c r="A26" s="63"/>
      <c r="B26" s="16" t="s">
        <v>57</v>
      </c>
      <c r="C26" s="7">
        <f>D26+'9月'!C26</f>
        <v>74178.7</v>
      </c>
      <c r="D26" s="7">
        <f t="shared" si="7"/>
        <v>7225.8799999999992</v>
      </c>
      <c r="E26" s="17">
        <v>217.08</v>
      </c>
      <c r="F26" s="15">
        <v>231.68</v>
      </c>
      <c r="G26" s="15">
        <v>196.96</v>
      </c>
      <c r="H26" s="15">
        <v>229.24</v>
      </c>
      <c r="I26" s="17">
        <v>206.84</v>
      </c>
      <c r="J26" s="17">
        <v>236.68</v>
      </c>
      <c r="K26" s="15">
        <v>208.62</v>
      </c>
      <c r="L26" s="17">
        <v>225.24</v>
      </c>
      <c r="M26" s="15">
        <v>216.08</v>
      </c>
      <c r="N26" s="15">
        <v>219.16</v>
      </c>
      <c r="O26" s="15">
        <v>243.6</v>
      </c>
      <c r="P26" s="17">
        <v>253.82</v>
      </c>
      <c r="Q26" s="15">
        <v>212.06</v>
      </c>
      <c r="R26" s="17">
        <v>218.24</v>
      </c>
      <c r="S26" s="15">
        <v>274.60000000000002</v>
      </c>
      <c r="T26" s="17">
        <v>254.9</v>
      </c>
      <c r="U26" s="15">
        <v>247.14</v>
      </c>
      <c r="V26" s="15">
        <v>266.88</v>
      </c>
      <c r="W26" s="15">
        <v>243.44</v>
      </c>
      <c r="X26" s="15">
        <v>214.58</v>
      </c>
      <c r="Y26" s="15">
        <v>265.39999999999998</v>
      </c>
      <c r="Z26" s="15">
        <v>224.8</v>
      </c>
      <c r="AA26" s="15">
        <v>220.88</v>
      </c>
      <c r="AB26" s="15">
        <v>255.26</v>
      </c>
      <c r="AC26" s="15">
        <v>225.98</v>
      </c>
      <c r="AD26" s="15">
        <v>220.88</v>
      </c>
      <c r="AE26" s="15">
        <v>248.92</v>
      </c>
      <c r="AF26" s="15">
        <v>247.3</v>
      </c>
      <c r="AG26" s="15">
        <v>238.28</v>
      </c>
      <c r="AH26" s="17">
        <v>249.32</v>
      </c>
      <c r="AI26" s="15">
        <v>212.02</v>
      </c>
    </row>
    <row r="27" spans="1:35" s="3" customFormat="1" ht="22.15" customHeight="1">
      <c r="A27" s="63"/>
      <c r="B27" s="16" t="s">
        <v>78</v>
      </c>
      <c r="C27" s="7">
        <f>D27+'9月'!C27</f>
        <v>2641.76</v>
      </c>
      <c r="D27" s="7">
        <f t="shared" si="7"/>
        <v>0</v>
      </c>
      <c r="E27" s="17"/>
      <c r="F27" s="15"/>
      <c r="G27" s="15"/>
      <c r="H27" s="15"/>
      <c r="I27" s="17"/>
      <c r="J27" s="17"/>
      <c r="K27" s="15"/>
      <c r="L27" s="17"/>
      <c r="M27" s="15"/>
      <c r="N27" s="15"/>
      <c r="O27" s="15"/>
      <c r="P27" s="17"/>
      <c r="Q27" s="15"/>
      <c r="R27" s="17"/>
      <c r="S27" s="15"/>
      <c r="T27" s="17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7"/>
      <c r="AI27" s="15"/>
    </row>
    <row r="28" spans="1:35" s="3" customFormat="1" ht="22.15" customHeight="1">
      <c r="A28" s="63"/>
      <c r="B28" s="19" t="s">
        <v>59</v>
      </c>
      <c r="C28" s="7">
        <f>D28+'9月'!C28</f>
        <v>50285.08</v>
      </c>
      <c r="D28" s="7">
        <f t="shared" si="7"/>
        <v>5661.2</v>
      </c>
      <c r="E28" s="17">
        <v>162.91999999999999</v>
      </c>
      <c r="F28" s="15">
        <v>176.54</v>
      </c>
      <c r="G28" s="15">
        <v>162.94</v>
      </c>
      <c r="H28" s="15">
        <v>172.08</v>
      </c>
      <c r="I28" s="17">
        <v>197.02</v>
      </c>
      <c r="J28" s="17">
        <v>180.3</v>
      </c>
      <c r="K28" s="15">
        <v>188.06</v>
      </c>
      <c r="L28" s="17">
        <v>190.62</v>
      </c>
      <c r="M28" s="15">
        <v>121.04</v>
      </c>
      <c r="N28" s="15">
        <v>166.54</v>
      </c>
      <c r="O28" s="15">
        <v>216.78</v>
      </c>
      <c r="P28" s="17">
        <v>188.04</v>
      </c>
      <c r="Q28" s="15">
        <v>205.96</v>
      </c>
      <c r="R28" s="17">
        <v>175.1</v>
      </c>
      <c r="S28" s="15">
        <v>198.26</v>
      </c>
      <c r="T28" s="17">
        <v>181.26</v>
      </c>
      <c r="U28" s="15">
        <v>195.58</v>
      </c>
      <c r="V28" s="15">
        <v>193.06</v>
      </c>
      <c r="W28" s="15">
        <v>204.42</v>
      </c>
      <c r="X28" s="15">
        <v>169.16</v>
      </c>
      <c r="Y28" s="15">
        <v>209.2</v>
      </c>
      <c r="Z28" s="15">
        <v>166.98</v>
      </c>
      <c r="AA28" s="15">
        <v>168.26</v>
      </c>
      <c r="AB28" s="15">
        <v>183.02</v>
      </c>
      <c r="AC28" s="15">
        <v>201.32</v>
      </c>
      <c r="AD28" s="15">
        <v>186.86</v>
      </c>
      <c r="AE28" s="15">
        <v>181.06</v>
      </c>
      <c r="AF28" s="15">
        <v>172.9</v>
      </c>
      <c r="AG28" s="15">
        <v>169.1</v>
      </c>
      <c r="AH28" s="17">
        <v>196.04</v>
      </c>
      <c r="AI28" s="15">
        <v>180.78</v>
      </c>
    </row>
    <row r="29" spans="1:35" s="3" customFormat="1" ht="22.15" customHeight="1">
      <c r="A29" s="63"/>
      <c r="B29" s="19" t="s">
        <v>60</v>
      </c>
      <c r="C29" s="7">
        <f>D29+'9月'!C29</f>
        <v>54935.779999999992</v>
      </c>
      <c r="D29" s="7">
        <f t="shared" si="7"/>
        <v>3637.599999999999</v>
      </c>
      <c r="E29" s="17">
        <v>190.48</v>
      </c>
      <c r="F29" s="15">
        <v>132.74</v>
      </c>
      <c r="G29" s="15">
        <v>156.41999999999999</v>
      </c>
      <c r="H29" s="15">
        <v>158.26</v>
      </c>
      <c r="I29" s="17">
        <v>162.86000000000001</v>
      </c>
      <c r="J29" s="17">
        <v>121.76</v>
      </c>
      <c r="K29" s="15">
        <v>148.96</v>
      </c>
      <c r="L29" s="17">
        <v>131</v>
      </c>
      <c r="M29" s="15">
        <v>102.62</v>
      </c>
      <c r="N29" s="15">
        <v>163.04</v>
      </c>
      <c r="O29" s="15">
        <v>166.32</v>
      </c>
      <c r="P29" s="17">
        <v>188.36</v>
      </c>
      <c r="Q29" s="15">
        <v>112.12</v>
      </c>
      <c r="R29" s="17">
        <v>153.58000000000001</v>
      </c>
      <c r="S29" s="15">
        <v>169.7</v>
      </c>
      <c r="T29" s="17">
        <v>201.44</v>
      </c>
      <c r="U29" s="15">
        <v>204.46</v>
      </c>
      <c r="V29" s="15">
        <v>153.22</v>
      </c>
      <c r="W29" s="15">
        <v>182.74</v>
      </c>
      <c r="X29" s="15">
        <v>19.899999999999999</v>
      </c>
      <c r="Y29" s="15"/>
      <c r="Z29" s="15"/>
      <c r="AA29" s="15"/>
      <c r="AB29" s="15"/>
      <c r="AC29" s="15"/>
      <c r="AD29" s="15"/>
      <c r="AE29" s="15">
        <v>15.56</v>
      </c>
      <c r="AF29" s="15">
        <v>164</v>
      </c>
      <c r="AG29" s="15">
        <v>131.9</v>
      </c>
      <c r="AH29" s="17">
        <v>139.5</v>
      </c>
      <c r="AI29" s="15">
        <v>166.66</v>
      </c>
    </row>
    <row r="30" spans="1:35" s="3" customFormat="1" ht="22.15" customHeight="1">
      <c r="A30" s="63"/>
      <c r="B30" s="19" t="s">
        <v>61</v>
      </c>
      <c r="C30" s="7">
        <f>D30+'9月'!C30</f>
        <v>159446.63999999998</v>
      </c>
      <c r="D30" s="7">
        <f t="shared" si="7"/>
        <v>15615.419999999996</v>
      </c>
      <c r="E30" s="17">
        <v>571.55999999999995</v>
      </c>
      <c r="F30" s="15">
        <v>582.98</v>
      </c>
      <c r="G30" s="15">
        <v>527.76</v>
      </c>
      <c r="H30" s="15">
        <v>489.44</v>
      </c>
      <c r="I30" s="17">
        <v>424.1</v>
      </c>
      <c r="J30" s="17">
        <v>490.56</v>
      </c>
      <c r="K30" s="15">
        <v>542.82000000000005</v>
      </c>
      <c r="L30" s="17">
        <v>544.20000000000005</v>
      </c>
      <c r="M30" s="15">
        <v>483.92</v>
      </c>
      <c r="N30" s="15">
        <v>513.86</v>
      </c>
      <c r="O30" s="15">
        <v>415.04</v>
      </c>
      <c r="P30" s="17">
        <v>462.08</v>
      </c>
      <c r="Q30" s="15">
        <v>519.98</v>
      </c>
      <c r="R30" s="17">
        <v>460.36</v>
      </c>
      <c r="S30" s="15">
        <v>577.1</v>
      </c>
      <c r="T30" s="17">
        <v>554.9</v>
      </c>
      <c r="U30" s="15">
        <v>544.1</v>
      </c>
      <c r="V30" s="15">
        <v>463.72</v>
      </c>
      <c r="W30" s="15">
        <v>472.62</v>
      </c>
      <c r="X30" s="15">
        <v>468.58</v>
      </c>
      <c r="Y30" s="15">
        <v>569.67999999999995</v>
      </c>
      <c r="Z30" s="15">
        <v>557.04</v>
      </c>
      <c r="AA30" s="15">
        <v>449.74</v>
      </c>
      <c r="AB30" s="15">
        <v>433.14</v>
      </c>
      <c r="AC30" s="15">
        <v>523.78</v>
      </c>
      <c r="AD30" s="15">
        <v>597.02</v>
      </c>
      <c r="AE30" s="15">
        <v>395.56</v>
      </c>
      <c r="AF30" s="15">
        <v>488.46</v>
      </c>
      <c r="AG30" s="15">
        <v>449.42</v>
      </c>
      <c r="AH30" s="17">
        <v>598.67999999999995</v>
      </c>
      <c r="AI30" s="15">
        <v>443.22</v>
      </c>
    </row>
    <row r="31" spans="1:35" s="3" customFormat="1" ht="22.15" customHeight="1">
      <c r="A31" s="63"/>
      <c r="B31" s="19" t="s">
        <v>62</v>
      </c>
      <c r="C31" s="7">
        <f>D31+'9月'!C31</f>
        <v>45</v>
      </c>
      <c r="D31" s="7">
        <f t="shared" si="7"/>
        <v>0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7"/>
      <c r="AI31" s="15"/>
    </row>
    <row r="32" spans="1:35" s="3" customFormat="1" ht="22.15" customHeight="1">
      <c r="A32" s="63"/>
      <c r="B32" s="19" t="s">
        <v>63</v>
      </c>
      <c r="C32" s="7">
        <f>D32+'9月'!C32</f>
        <v>0</v>
      </c>
      <c r="D32" s="7">
        <f t="shared" si="7"/>
        <v>0</v>
      </c>
      <c r="E32" s="17"/>
      <c r="F32" s="15"/>
      <c r="G32" s="15"/>
      <c r="H32" s="15"/>
      <c r="I32" s="17"/>
      <c r="J32" s="17"/>
      <c r="K32" s="15"/>
      <c r="L32" s="17"/>
      <c r="M32" s="15"/>
      <c r="N32" s="15"/>
      <c r="O32" s="15"/>
      <c r="P32" s="17"/>
      <c r="Q32" s="15"/>
      <c r="R32" s="17"/>
      <c r="S32" s="15"/>
      <c r="T32" s="17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7"/>
      <c r="AI32" s="15"/>
    </row>
    <row r="33" spans="1:35" s="3" customFormat="1" ht="22.15" customHeight="1">
      <c r="A33" s="63"/>
      <c r="B33" s="19" t="s">
        <v>64</v>
      </c>
      <c r="C33" s="7">
        <f>D33+'9月'!C33</f>
        <v>712.38</v>
      </c>
      <c r="D33" s="7">
        <f t="shared" si="7"/>
        <v>0</v>
      </c>
      <c r="E33" s="17"/>
      <c r="F33" s="15"/>
      <c r="G33" s="15"/>
      <c r="H33" s="15"/>
      <c r="I33" s="17"/>
      <c r="J33" s="17"/>
      <c r="K33" s="15"/>
      <c r="L33" s="17"/>
      <c r="M33" s="15"/>
      <c r="N33" s="15"/>
      <c r="O33" s="15"/>
      <c r="P33" s="17"/>
      <c r="Q33" s="15"/>
      <c r="R33" s="17"/>
      <c r="S33" s="15"/>
      <c r="T33" s="17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28"/>
      <c r="AF33" s="28"/>
      <c r="AG33" s="15"/>
      <c r="AH33" s="17"/>
      <c r="AI33" s="15"/>
    </row>
    <row r="34" spans="1:35" s="3" customFormat="1" ht="22.15" hidden="1" customHeight="1">
      <c r="A34" s="63"/>
      <c r="B34" s="19"/>
      <c r="C34" s="7">
        <f>D34+'9月'!C34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5"/>
      <c r="AF34" s="17"/>
      <c r="AG34" s="17"/>
      <c r="AH34" s="17"/>
      <c r="AI34" s="17"/>
    </row>
    <row r="35" spans="1:35" s="3" customFormat="1" ht="22.15" hidden="1" customHeight="1">
      <c r="A35" s="63"/>
      <c r="B35" s="19"/>
      <c r="C35" s="7">
        <f>D35+'9月'!C35</f>
        <v>0</v>
      </c>
      <c r="D35" s="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3" customFormat="1" ht="26.1" customHeight="1">
      <c r="A36" s="64"/>
      <c r="B36" s="12" t="s">
        <v>65</v>
      </c>
      <c r="C36" s="7">
        <f>D36+'9月'!C36</f>
        <v>443176.6399999999</v>
      </c>
      <c r="D36" s="7">
        <f>SUM(D20:D35)</f>
        <v>41284.959999999992</v>
      </c>
      <c r="E36" s="7">
        <f t="shared" ref="E36:AI36" si="8">SUM(E20:E35)</f>
        <v>1656.62</v>
      </c>
      <c r="F36" s="7">
        <f t="shared" si="8"/>
        <v>1625</v>
      </c>
      <c r="G36" s="7">
        <f t="shared" si="8"/>
        <v>1504.8600000000001</v>
      </c>
      <c r="H36" s="7">
        <f t="shared" si="8"/>
        <v>1505.16</v>
      </c>
      <c r="I36" s="7">
        <f t="shared" si="8"/>
        <v>1470.1</v>
      </c>
      <c r="J36" s="7">
        <f t="shared" si="8"/>
        <v>1481.3999999999999</v>
      </c>
      <c r="K36" s="7">
        <f t="shared" si="8"/>
        <v>1593.7000000000003</v>
      </c>
      <c r="L36" s="7">
        <f t="shared" si="8"/>
        <v>1502.64</v>
      </c>
      <c r="M36" s="7">
        <f t="shared" si="8"/>
        <v>1360.94</v>
      </c>
      <c r="N36" s="7">
        <f t="shared" si="8"/>
        <v>1392.7399999999998</v>
      </c>
      <c r="O36" s="7">
        <f t="shared" si="8"/>
        <v>1466.8799999999999</v>
      </c>
      <c r="P36" s="7">
        <f t="shared" si="8"/>
        <v>1415.7</v>
      </c>
      <c r="Q36" s="7">
        <f t="shared" si="8"/>
        <v>1316.42</v>
      </c>
      <c r="R36" s="7">
        <f t="shared" si="8"/>
        <v>1364.6</v>
      </c>
      <c r="S36" s="7">
        <f t="shared" si="8"/>
        <v>1506.46</v>
      </c>
      <c r="T36" s="7">
        <f t="shared" si="8"/>
        <v>1499.2799999999997</v>
      </c>
      <c r="U36" s="7">
        <f t="shared" si="8"/>
        <v>1426.98</v>
      </c>
      <c r="V36" s="7">
        <f t="shared" si="8"/>
        <v>1376.16</v>
      </c>
      <c r="W36" s="7">
        <f t="shared" si="8"/>
        <v>1424.38</v>
      </c>
      <c r="X36" s="7">
        <f t="shared" si="8"/>
        <v>952.2</v>
      </c>
      <c r="Y36" s="7">
        <f t="shared" si="8"/>
        <v>1044.28</v>
      </c>
      <c r="Z36" s="7">
        <f t="shared" si="8"/>
        <v>948.81999999999994</v>
      </c>
      <c r="AA36" s="7">
        <f t="shared" si="8"/>
        <v>838.88</v>
      </c>
      <c r="AB36" s="7">
        <f t="shared" si="8"/>
        <v>871.42</v>
      </c>
      <c r="AC36" s="7">
        <f t="shared" si="8"/>
        <v>951.07999999999993</v>
      </c>
      <c r="AD36" s="7">
        <f t="shared" si="8"/>
        <v>1004.76</v>
      </c>
      <c r="AE36" s="7">
        <f t="shared" si="8"/>
        <v>975.09999999999991</v>
      </c>
      <c r="AF36" s="7">
        <f t="shared" si="8"/>
        <v>1449.04</v>
      </c>
      <c r="AG36" s="7">
        <f t="shared" si="8"/>
        <v>1430.7</v>
      </c>
      <c r="AH36" s="7">
        <f t="shared" si="8"/>
        <v>1534.56</v>
      </c>
      <c r="AI36" s="7">
        <f t="shared" si="8"/>
        <v>1394.1</v>
      </c>
    </row>
    <row r="37" spans="1:35" s="3" customFormat="1" ht="26.25" customHeight="1">
      <c r="A37" s="61" t="s">
        <v>68</v>
      </c>
      <c r="B37" s="12" t="s">
        <v>66</v>
      </c>
      <c r="C37" s="7">
        <f>D37+'9月'!C37</f>
        <v>95621.98000000001</v>
      </c>
      <c r="D37" s="7">
        <f>SUM(E37:AI37)</f>
        <v>10077.66</v>
      </c>
      <c r="E37" s="7">
        <v>433.44</v>
      </c>
      <c r="F37" s="7">
        <v>366.1</v>
      </c>
      <c r="G37" s="7">
        <v>451.34</v>
      </c>
      <c r="H37" s="7">
        <v>315.98</v>
      </c>
      <c r="I37" s="7">
        <v>406.26</v>
      </c>
      <c r="J37" s="7">
        <v>297.56</v>
      </c>
      <c r="K37" s="7">
        <v>452.34</v>
      </c>
      <c r="L37" s="7">
        <v>201.6</v>
      </c>
      <c r="M37" s="7">
        <v>387.64</v>
      </c>
      <c r="N37" s="7">
        <v>446.12</v>
      </c>
      <c r="O37" s="7">
        <v>505.3</v>
      </c>
      <c r="P37" s="7">
        <v>662.54</v>
      </c>
      <c r="Q37" s="7">
        <v>431.56</v>
      </c>
      <c r="R37" s="7">
        <v>415.14</v>
      </c>
      <c r="S37" s="7">
        <v>331.34</v>
      </c>
      <c r="T37" s="7">
        <v>255.54</v>
      </c>
      <c r="U37" s="7">
        <v>227.68</v>
      </c>
      <c r="V37" s="7">
        <v>191.62</v>
      </c>
      <c r="W37" s="7">
        <v>113.82</v>
      </c>
      <c r="X37" s="7">
        <v>0</v>
      </c>
      <c r="Y37" s="7">
        <v>301.56</v>
      </c>
      <c r="Z37" s="7">
        <v>171.96</v>
      </c>
      <c r="AA37" s="7">
        <v>63.94</v>
      </c>
      <c r="AB37" s="7">
        <v>0</v>
      </c>
      <c r="AC37" s="7">
        <v>144.68</v>
      </c>
      <c r="AD37" s="7">
        <v>226.04</v>
      </c>
      <c r="AE37" s="7">
        <v>162.63999999999999</v>
      </c>
      <c r="AF37" s="7">
        <v>355.26</v>
      </c>
      <c r="AG37" s="7">
        <v>719.7</v>
      </c>
      <c r="AH37" s="7">
        <v>529.22</v>
      </c>
      <c r="AI37" s="7">
        <v>509.74</v>
      </c>
    </row>
    <row r="38" spans="1:35" s="3" customFormat="1" ht="26.1" customHeight="1">
      <c r="A38" s="53"/>
      <c r="B38" s="12" t="s">
        <v>67</v>
      </c>
      <c r="C38" s="7">
        <f>D38+'9月'!C38</f>
        <v>8965.0600000000013</v>
      </c>
      <c r="D38" s="7">
        <f t="shared" ref="D38:D42" si="9">SUM(E38:AI38)</f>
        <v>710.01999999999987</v>
      </c>
      <c r="E38" s="7">
        <v>53.7</v>
      </c>
      <c r="F38" s="7">
        <v>31.56</v>
      </c>
      <c r="G38" s="7">
        <v>31.12</v>
      </c>
      <c r="H38" s="7">
        <v>30.16</v>
      </c>
      <c r="I38" s="7">
        <v>30.64</v>
      </c>
      <c r="J38" s="7">
        <v>31.36</v>
      </c>
      <c r="K38" s="7">
        <v>27.9</v>
      </c>
      <c r="L38" s="7">
        <v>12.76</v>
      </c>
      <c r="M38" s="7">
        <v>21.22</v>
      </c>
      <c r="N38" s="7">
        <v>0</v>
      </c>
      <c r="O38" s="7">
        <v>47.02</v>
      </c>
      <c r="P38" s="7">
        <v>38.14</v>
      </c>
      <c r="Q38" s="7">
        <v>30.28</v>
      </c>
      <c r="R38" s="7">
        <v>41.4</v>
      </c>
      <c r="S38" s="7">
        <v>12.08</v>
      </c>
      <c r="T38" s="7">
        <v>11.32</v>
      </c>
      <c r="U38" s="7">
        <v>21.52</v>
      </c>
      <c r="V38" s="7">
        <v>21.06</v>
      </c>
      <c r="W38" s="7">
        <v>10.5</v>
      </c>
      <c r="X38" s="7">
        <v>19.16</v>
      </c>
      <c r="Y38" s="7">
        <v>10.4</v>
      </c>
      <c r="Z38" s="7">
        <v>10.220000000000001</v>
      </c>
      <c r="AA38" s="7">
        <v>10.119999999999999</v>
      </c>
      <c r="AB38" s="7">
        <v>9.66</v>
      </c>
      <c r="AC38" s="7">
        <v>11.3</v>
      </c>
      <c r="AD38" s="7">
        <v>21.24</v>
      </c>
      <c r="AE38" s="7">
        <v>22.2</v>
      </c>
      <c r="AF38" s="7">
        <v>11.06</v>
      </c>
      <c r="AG38" s="7">
        <v>30.14</v>
      </c>
      <c r="AH38" s="7">
        <v>21.18</v>
      </c>
      <c r="AI38" s="7">
        <v>29.6</v>
      </c>
    </row>
    <row r="39" spans="1:35" s="3" customFormat="1" ht="24.95" customHeight="1">
      <c r="A39" s="54"/>
      <c r="B39" s="6" t="s">
        <v>69</v>
      </c>
      <c r="C39" s="7">
        <f>D39+'9月'!C39</f>
        <v>44387</v>
      </c>
      <c r="D39" s="7">
        <f t="shared" si="9"/>
        <v>3916</v>
      </c>
      <c r="E39" s="7">
        <v>147</v>
      </c>
      <c r="F39" s="7">
        <v>97</v>
      </c>
      <c r="G39" s="7">
        <v>76</v>
      </c>
      <c r="H39" s="7">
        <v>185</v>
      </c>
      <c r="I39" s="7">
        <v>100</v>
      </c>
      <c r="J39" s="7">
        <v>197</v>
      </c>
      <c r="K39" s="7">
        <v>72</v>
      </c>
      <c r="L39" s="7">
        <v>123</v>
      </c>
      <c r="M39" s="7">
        <v>124</v>
      </c>
      <c r="N39" s="7">
        <v>111</v>
      </c>
      <c r="O39" s="7">
        <v>318</v>
      </c>
      <c r="P39" s="7">
        <v>77</v>
      </c>
      <c r="Q39" s="7">
        <v>253</v>
      </c>
      <c r="R39" s="7">
        <v>0</v>
      </c>
      <c r="S39" s="7">
        <v>206</v>
      </c>
      <c r="T39" s="7">
        <v>77</v>
      </c>
      <c r="U39" s="7">
        <v>369</v>
      </c>
      <c r="V39" s="7">
        <v>89</v>
      </c>
      <c r="W39" s="7">
        <v>166</v>
      </c>
      <c r="X39" s="7">
        <v>102</v>
      </c>
      <c r="Y39" s="7">
        <v>31</v>
      </c>
      <c r="Z39" s="7">
        <v>177</v>
      </c>
      <c r="AA39" s="7">
        <v>47</v>
      </c>
      <c r="AB39" s="7">
        <v>85</v>
      </c>
      <c r="AC39" s="7">
        <v>150</v>
      </c>
      <c r="AD39" s="7">
        <v>154</v>
      </c>
      <c r="AE39" s="7">
        <v>38</v>
      </c>
      <c r="AF39" s="7">
        <v>56</v>
      </c>
      <c r="AG39" s="7">
        <v>123</v>
      </c>
      <c r="AH39" s="7">
        <v>99</v>
      </c>
      <c r="AI39" s="7">
        <v>67</v>
      </c>
    </row>
    <row r="40" spans="1:35" s="3" customFormat="1" ht="24.95" customHeight="1">
      <c r="A40" s="60" t="s">
        <v>70</v>
      </c>
      <c r="B40" s="6" t="s">
        <v>71</v>
      </c>
      <c r="C40" s="7">
        <f>D40+'9月'!C40</f>
        <v>612.79900000000009</v>
      </c>
      <c r="D40" s="7">
        <f t="shared" si="9"/>
        <v>59.210000000000015</v>
      </c>
      <c r="E40" s="30">
        <v>2.5299999999999998</v>
      </c>
      <c r="F40" s="30">
        <v>2.5499999999999998</v>
      </c>
      <c r="G40" s="30">
        <v>2.59</v>
      </c>
      <c r="H40" s="30">
        <v>2.4900000000000002</v>
      </c>
      <c r="I40" s="30">
        <v>2.57</v>
      </c>
      <c r="J40" s="30">
        <v>2.67</v>
      </c>
      <c r="K40" s="30">
        <v>2.71</v>
      </c>
      <c r="L40" s="30">
        <v>2.52</v>
      </c>
      <c r="M40" s="30">
        <v>2.37</v>
      </c>
      <c r="N40" s="30">
        <v>2.35</v>
      </c>
      <c r="O40" s="31">
        <v>2.33</v>
      </c>
      <c r="P40" s="31">
        <v>1.8</v>
      </c>
      <c r="Q40" s="31">
        <v>2.36</v>
      </c>
      <c r="R40" s="31">
        <v>2.36</v>
      </c>
      <c r="S40" s="31">
        <v>2.17</v>
      </c>
      <c r="T40" s="31">
        <v>1.52</v>
      </c>
      <c r="U40" s="31">
        <v>1.47</v>
      </c>
      <c r="V40" s="31">
        <v>1.47</v>
      </c>
      <c r="W40" s="31">
        <v>1.31</v>
      </c>
      <c r="X40" s="31">
        <v>0.89</v>
      </c>
      <c r="Y40" s="30">
        <v>0.67</v>
      </c>
      <c r="Z40" s="30">
        <v>0.88</v>
      </c>
      <c r="AA40" s="30">
        <v>0.8</v>
      </c>
      <c r="AB40" s="30">
        <v>0.96</v>
      </c>
      <c r="AC40" s="30">
        <v>1.45</v>
      </c>
      <c r="AD40" s="30">
        <v>1.49</v>
      </c>
      <c r="AE40" s="30">
        <v>2.0699999999999998</v>
      </c>
      <c r="AF40" s="30">
        <v>2.99</v>
      </c>
      <c r="AG40" s="30">
        <v>1.98</v>
      </c>
      <c r="AH40" s="30">
        <v>1.34</v>
      </c>
      <c r="AI40" s="30">
        <v>1.55</v>
      </c>
    </row>
    <row r="41" spans="1:35" s="3" customFormat="1" ht="24.95" customHeight="1">
      <c r="A41" s="60"/>
      <c r="B41" s="6" t="s">
        <v>72</v>
      </c>
      <c r="C41" s="7">
        <f>D41+'9月'!C41</f>
        <v>2879.2300000000009</v>
      </c>
      <c r="D41" s="7">
        <f t="shared" si="9"/>
        <v>301.61999999999995</v>
      </c>
      <c r="E41" s="31">
        <v>12.55</v>
      </c>
      <c r="F41" s="31">
        <v>12.95</v>
      </c>
      <c r="G41" s="31">
        <v>12.15</v>
      </c>
      <c r="H41" s="31">
        <v>13.05</v>
      </c>
      <c r="I41" s="31">
        <v>13.29</v>
      </c>
      <c r="J41" s="31">
        <v>13.57</v>
      </c>
      <c r="K41" s="31">
        <v>12.11</v>
      </c>
      <c r="L41" s="31">
        <v>11.5</v>
      </c>
      <c r="M41" s="31">
        <v>11.67</v>
      </c>
      <c r="N41" s="31">
        <v>13.42</v>
      </c>
      <c r="O41" s="30">
        <v>12.32</v>
      </c>
      <c r="P41" s="30">
        <v>11.17</v>
      </c>
      <c r="Q41" s="30">
        <v>11.93</v>
      </c>
      <c r="R41" s="30">
        <v>11.98</v>
      </c>
      <c r="S41" s="30">
        <v>11.32</v>
      </c>
      <c r="T41" s="30">
        <v>5.48</v>
      </c>
      <c r="U41" s="30">
        <v>5.19</v>
      </c>
      <c r="V41" s="30">
        <v>4.8499999999999996</v>
      </c>
      <c r="W41" s="30">
        <v>5.41</v>
      </c>
      <c r="X41" s="30">
        <v>4.9400000000000004</v>
      </c>
      <c r="Y41" s="30">
        <v>5.4</v>
      </c>
      <c r="Z41" s="30">
        <v>5.7</v>
      </c>
      <c r="AA41" s="30">
        <v>5.4</v>
      </c>
      <c r="AB41" s="30">
        <v>5.7</v>
      </c>
      <c r="AC41" s="30">
        <v>5.9</v>
      </c>
      <c r="AD41" s="30">
        <v>7.38</v>
      </c>
      <c r="AE41" s="30">
        <v>10.02</v>
      </c>
      <c r="AF41" s="30">
        <v>11.33</v>
      </c>
      <c r="AG41" s="30">
        <v>11.23</v>
      </c>
      <c r="AH41" s="30">
        <v>11.69</v>
      </c>
      <c r="AI41" s="30">
        <v>11.02</v>
      </c>
    </row>
    <row r="42" spans="1:35" s="3" customFormat="1" ht="24.95" customHeight="1">
      <c r="A42" s="60"/>
      <c r="B42" s="6" t="s">
        <v>73</v>
      </c>
      <c r="C42" s="7">
        <f>D42+'9月'!C42</f>
        <v>187.69000000000003</v>
      </c>
      <c r="D42" s="7">
        <f t="shared" si="9"/>
        <v>17.979999999999993</v>
      </c>
      <c r="E42" s="31">
        <v>0.73</v>
      </c>
      <c r="F42" s="31">
        <v>0.75</v>
      </c>
      <c r="G42" s="31">
        <v>0.76</v>
      </c>
      <c r="H42" s="31">
        <v>0.73</v>
      </c>
      <c r="I42" s="31">
        <v>0.75</v>
      </c>
      <c r="J42" s="31">
        <v>0.78</v>
      </c>
      <c r="K42" s="31">
        <v>0.77</v>
      </c>
      <c r="L42" s="31">
        <v>0.76</v>
      </c>
      <c r="M42" s="31">
        <v>0.77</v>
      </c>
      <c r="N42" s="31">
        <v>0.8</v>
      </c>
      <c r="O42" s="30">
        <v>0.79</v>
      </c>
      <c r="P42" s="30">
        <v>0.74</v>
      </c>
      <c r="Q42" s="30">
        <v>0.72</v>
      </c>
      <c r="R42" s="30">
        <v>0.71</v>
      </c>
      <c r="S42" s="30">
        <v>0.59</v>
      </c>
      <c r="T42" s="30">
        <v>0.36</v>
      </c>
      <c r="U42" s="30">
        <v>0.38</v>
      </c>
      <c r="V42" s="30">
        <v>0.35</v>
      </c>
      <c r="W42" s="30">
        <v>0.32</v>
      </c>
      <c r="X42" s="30">
        <v>0.3</v>
      </c>
      <c r="Y42" s="30">
        <v>0.28000000000000003</v>
      </c>
      <c r="Z42" s="30">
        <v>0.28000000000000003</v>
      </c>
      <c r="AA42" s="30">
        <v>0.28999999999999998</v>
      </c>
      <c r="AB42" s="30">
        <v>0.28999999999999998</v>
      </c>
      <c r="AC42" s="30">
        <v>0.33</v>
      </c>
      <c r="AD42" s="30">
        <v>0.34</v>
      </c>
      <c r="AE42" s="30">
        <v>0.6</v>
      </c>
      <c r="AF42" s="30">
        <v>0.7</v>
      </c>
      <c r="AG42" s="30">
        <v>0.66</v>
      </c>
      <c r="AH42" s="30">
        <v>0.65</v>
      </c>
      <c r="AI42" s="30">
        <v>0.7</v>
      </c>
    </row>
    <row r="43" spans="1:35" s="1" customFormat="1" ht="18" customHeight="1">
      <c r="B43" s="20" t="s">
        <v>74</v>
      </c>
      <c r="C43" s="21">
        <f>C37/C5</f>
        <v>0.24835948993076629</v>
      </c>
      <c r="D43" s="21">
        <f>D37/D5</f>
        <v>0.29455903801804589</v>
      </c>
      <c r="G43" s="22"/>
    </row>
    <row r="44" spans="1:35" s="1" customFormat="1" ht="18" customHeight="1">
      <c r="B44" s="23" t="s">
        <v>75</v>
      </c>
      <c r="C44" s="24">
        <f>C38/C5</f>
        <v>2.3284999210419148E-2</v>
      </c>
      <c r="D44" s="24">
        <f>D38/D5</f>
        <v>2.0753112148412717E-2</v>
      </c>
      <c r="G44" s="22"/>
    </row>
    <row r="45" spans="1:35" s="1" customFormat="1" ht="18" customHeight="1">
      <c r="B45" s="23" t="s">
        <v>76</v>
      </c>
      <c r="C45" s="24">
        <f>C39/C5</f>
        <v>0.11528659707273288</v>
      </c>
      <c r="D45" s="24">
        <f>D39/D5</f>
        <v>0.11446041966871949</v>
      </c>
      <c r="G45" s="22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</sheetData>
  <mergeCells count="10">
    <mergeCell ref="A16:A18"/>
    <mergeCell ref="A40:A42"/>
    <mergeCell ref="A1:B1"/>
    <mergeCell ref="C1:AI1"/>
    <mergeCell ref="A3:A5"/>
    <mergeCell ref="A6:A8"/>
    <mergeCell ref="A9:A12"/>
    <mergeCell ref="A13:A15"/>
    <mergeCell ref="A20:A36"/>
    <mergeCell ref="A37:A39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I68"/>
  <sheetViews>
    <sheetView topLeftCell="A36" zoomScale="180" zoomScaleNormal="180" workbookViewId="0">
      <pane xSplit="4" topLeftCell="E1" activePane="topRight" state="frozen"/>
      <selection pane="topRight" activeCell="A37" sqref="A37:A39"/>
    </sheetView>
  </sheetViews>
  <sheetFormatPr defaultColWidth="9" defaultRowHeight="13.5"/>
  <cols>
    <col min="1" max="1" width="8.75" style="4" customWidth="1"/>
    <col min="2" max="2" width="14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11.25" style="4" customWidth="1"/>
    <col min="35" max="35" width="9" style="4" hidden="1" customWidth="1"/>
    <col min="36" max="16384" width="9" style="4"/>
  </cols>
  <sheetData>
    <row r="1" spans="1:35" s="1" customFormat="1" ht="42.75" customHeight="1">
      <c r="A1" s="57">
        <v>44501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D3+'10月'!C3</f>
        <v>208942.6</v>
      </c>
      <c r="D3" s="7">
        <f t="shared" ref="D3:D9" si="0">SUM(E3:AI3)</f>
        <v>20572.000000000004</v>
      </c>
      <c r="E3" s="7">
        <v>649</v>
      </c>
      <c r="F3" s="7">
        <v>676.7</v>
      </c>
      <c r="G3" s="7">
        <v>667.9</v>
      </c>
      <c r="H3" s="7">
        <v>642.6</v>
      </c>
      <c r="I3" s="7">
        <v>652.9</v>
      </c>
      <c r="J3" s="7">
        <v>666.1</v>
      </c>
      <c r="K3" s="7">
        <v>660.6</v>
      </c>
      <c r="L3" s="7">
        <v>688.3</v>
      </c>
      <c r="M3" s="7">
        <v>680.4</v>
      </c>
      <c r="N3" s="7">
        <v>671.6</v>
      </c>
      <c r="O3" s="7">
        <v>684.2</v>
      </c>
      <c r="P3" s="7">
        <v>667.4</v>
      </c>
      <c r="Q3" s="7">
        <v>639</v>
      </c>
      <c r="R3" s="7">
        <v>665.1</v>
      </c>
      <c r="S3" s="7">
        <v>681.6</v>
      </c>
      <c r="T3" s="7">
        <v>644</v>
      </c>
      <c r="U3" s="7">
        <v>641</v>
      </c>
      <c r="V3" s="7">
        <v>696.8</v>
      </c>
      <c r="W3" s="7">
        <v>673.7</v>
      </c>
      <c r="X3" s="7">
        <v>740.3</v>
      </c>
      <c r="Y3" s="7">
        <v>714.4</v>
      </c>
      <c r="Z3" s="7">
        <v>711</v>
      </c>
      <c r="AA3" s="7">
        <v>765.4</v>
      </c>
      <c r="AB3" s="7">
        <v>755.8</v>
      </c>
      <c r="AC3" s="7">
        <v>686</v>
      </c>
      <c r="AD3" s="7">
        <v>706.4</v>
      </c>
      <c r="AE3" s="7">
        <v>684.4</v>
      </c>
      <c r="AF3" s="7">
        <v>746.9</v>
      </c>
      <c r="AG3" s="7">
        <v>685.5</v>
      </c>
      <c r="AH3" s="7">
        <v>727</v>
      </c>
      <c r="AI3" s="29"/>
    </row>
    <row r="4" spans="1:35" s="3" customFormat="1" ht="26.25" customHeight="1">
      <c r="A4" s="51"/>
      <c r="B4" s="7" t="s">
        <v>37</v>
      </c>
      <c r="C4" s="7">
        <f>D4+'10月'!C4</f>
        <v>218104.59999999995</v>
      </c>
      <c r="D4" s="7">
        <f t="shared" si="0"/>
        <v>21460.799999999999</v>
      </c>
      <c r="E4" s="7">
        <v>699.8</v>
      </c>
      <c r="F4" s="7">
        <v>709.1</v>
      </c>
      <c r="G4" s="7">
        <v>699.7</v>
      </c>
      <c r="H4" s="7">
        <v>728.8</v>
      </c>
      <c r="I4" s="7">
        <v>685.9</v>
      </c>
      <c r="J4" s="7">
        <v>718.6</v>
      </c>
      <c r="K4" s="7">
        <v>692.8</v>
      </c>
      <c r="L4" s="7">
        <v>715.6</v>
      </c>
      <c r="M4" s="7">
        <v>700.6</v>
      </c>
      <c r="N4" s="7">
        <v>758.4</v>
      </c>
      <c r="O4" s="7">
        <v>701</v>
      </c>
      <c r="P4" s="7">
        <v>751</v>
      </c>
      <c r="Q4" s="7">
        <v>651.70000000000005</v>
      </c>
      <c r="R4" s="7">
        <v>661.5</v>
      </c>
      <c r="S4" s="7">
        <v>730.2</v>
      </c>
      <c r="T4" s="7">
        <v>710</v>
      </c>
      <c r="U4" s="7">
        <v>678.1</v>
      </c>
      <c r="V4" s="7">
        <v>733.2</v>
      </c>
      <c r="W4" s="7">
        <v>701</v>
      </c>
      <c r="X4" s="7">
        <v>757.3</v>
      </c>
      <c r="Y4" s="7">
        <v>695.6</v>
      </c>
      <c r="Z4" s="7">
        <v>749.6</v>
      </c>
      <c r="AA4" s="7">
        <v>802.2</v>
      </c>
      <c r="AB4" s="7">
        <v>768.1</v>
      </c>
      <c r="AC4" s="7">
        <v>699.5</v>
      </c>
      <c r="AD4" s="7">
        <v>676.7</v>
      </c>
      <c r="AE4" s="7">
        <v>702.1</v>
      </c>
      <c r="AF4" s="7">
        <v>753.1</v>
      </c>
      <c r="AG4" s="29">
        <v>668.6</v>
      </c>
      <c r="AH4" s="7">
        <v>761</v>
      </c>
      <c r="AI4" s="7"/>
    </row>
    <row r="5" spans="1:35" s="3" customFormat="1" ht="24.95" customHeight="1">
      <c r="A5" s="51"/>
      <c r="B5" s="7" t="s">
        <v>38</v>
      </c>
      <c r="C5" s="7">
        <f>D5+'10月'!C5</f>
        <v>427047.19999999995</v>
      </c>
      <c r="D5" s="7">
        <f t="shared" si="0"/>
        <v>42032.799999999988</v>
      </c>
      <c r="E5" s="7">
        <f>E3+E4</f>
        <v>1348.8</v>
      </c>
      <c r="F5" s="7">
        <f t="shared" ref="F5:AI5" si="1">F3+F4</f>
        <v>1385.8000000000002</v>
      </c>
      <c r="G5" s="7">
        <f t="shared" si="1"/>
        <v>1367.6</v>
      </c>
      <c r="H5" s="7">
        <f t="shared" si="1"/>
        <v>1371.4</v>
      </c>
      <c r="I5" s="7">
        <f t="shared" si="1"/>
        <v>1338.8</v>
      </c>
      <c r="J5" s="7">
        <f t="shared" si="1"/>
        <v>1384.7</v>
      </c>
      <c r="K5" s="7">
        <f t="shared" si="1"/>
        <v>1353.4</v>
      </c>
      <c r="L5" s="7">
        <f t="shared" si="1"/>
        <v>1403.9</v>
      </c>
      <c r="M5" s="7">
        <f t="shared" si="1"/>
        <v>1381</v>
      </c>
      <c r="N5" s="7">
        <f t="shared" si="1"/>
        <v>1430</v>
      </c>
      <c r="O5" s="7">
        <f t="shared" si="1"/>
        <v>1385.2</v>
      </c>
      <c r="P5" s="7">
        <f t="shared" si="1"/>
        <v>1418.4</v>
      </c>
      <c r="Q5" s="7">
        <f t="shared" si="1"/>
        <v>1290.7</v>
      </c>
      <c r="R5" s="7">
        <f t="shared" si="1"/>
        <v>1326.6</v>
      </c>
      <c r="S5" s="7">
        <f t="shared" si="1"/>
        <v>1411.8000000000002</v>
      </c>
      <c r="T5" s="7">
        <f t="shared" si="1"/>
        <v>1354</v>
      </c>
      <c r="U5" s="7">
        <f t="shared" si="1"/>
        <v>1319.1</v>
      </c>
      <c r="V5" s="7">
        <f t="shared" si="1"/>
        <v>1430</v>
      </c>
      <c r="W5" s="7">
        <f t="shared" si="1"/>
        <v>1374.7</v>
      </c>
      <c r="X5" s="7">
        <f t="shared" si="1"/>
        <v>1497.6</v>
      </c>
      <c r="Y5" s="7">
        <f t="shared" si="1"/>
        <v>1410</v>
      </c>
      <c r="Z5" s="7">
        <f t="shared" si="1"/>
        <v>1460.6</v>
      </c>
      <c r="AA5" s="7">
        <f t="shared" si="1"/>
        <v>1567.6</v>
      </c>
      <c r="AB5" s="7">
        <f t="shared" si="1"/>
        <v>1523.9</v>
      </c>
      <c r="AC5" s="7">
        <f t="shared" si="1"/>
        <v>1385.5</v>
      </c>
      <c r="AD5" s="7">
        <f t="shared" si="1"/>
        <v>1383.1</v>
      </c>
      <c r="AE5" s="7">
        <f t="shared" si="1"/>
        <v>1386.5</v>
      </c>
      <c r="AF5" s="7">
        <f t="shared" si="1"/>
        <v>1500</v>
      </c>
      <c r="AG5" s="7">
        <f t="shared" si="1"/>
        <v>1354.1</v>
      </c>
      <c r="AH5" s="7">
        <f t="shared" si="1"/>
        <v>1488</v>
      </c>
      <c r="AI5" s="7">
        <f t="shared" si="1"/>
        <v>0</v>
      </c>
    </row>
    <row r="6" spans="1:35" s="3" customFormat="1" ht="24.95" customHeight="1">
      <c r="A6" s="51" t="s">
        <v>39</v>
      </c>
      <c r="B6" s="7" t="s">
        <v>40</v>
      </c>
      <c r="C6" s="7">
        <f>D6+'10月'!C6</f>
        <v>105026000</v>
      </c>
      <c r="D6" s="7">
        <f t="shared" si="0"/>
        <v>10938000</v>
      </c>
      <c r="E6" s="7">
        <v>374000</v>
      </c>
      <c r="F6" s="7">
        <v>372000</v>
      </c>
      <c r="G6" s="7">
        <v>370000</v>
      </c>
      <c r="H6" s="7">
        <v>378000</v>
      </c>
      <c r="I6" s="7">
        <v>370000</v>
      </c>
      <c r="J6" s="7">
        <v>364000</v>
      </c>
      <c r="K6" s="7">
        <v>368000</v>
      </c>
      <c r="L6" s="7">
        <v>384000</v>
      </c>
      <c r="M6" s="7">
        <v>380000</v>
      </c>
      <c r="N6" s="7">
        <v>380000</v>
      </c>
      <c r="O6" s="7">
        <v>382000</v>
      </c>
      <c r="P6" s="26">
        <v>380000</v>
      </c>
      <c r="Q6" s="7">
        <v>360000</v>
      </c>
      <c r="R6" s="7">
        <v>362000</v>
      </c>
      <c r="S6" s="7">
        <v>354000</v>
      </c>
      <c r="T6" s="7">
        <v>352000</v>
      </c>
      <c r="U6" s="26">
        <v>344000</v>
      </c>
      <c r="V6" s="26">
        <v>354000</v>
      </c>
      <c r="W6" s="7">
        <v>362000</v>
      </c>
      <c r="X6" s="7">
        <v>354000</v>
      </c>
      <c r="Y6" s="7">
        <v>358000</v>
      </c>
      <c r="Z6" s="7">
        <v>364000</v>
      </c>
      <c r="AA6" s="7">
        <v>362000</v>
      </c>
      <c r="AB6" s="7">
        <v>364000</v>
      </c>
      <c r="AC6" s="7">
        <v>360000</v>
      </c>
      <c r="AD6" s="7">
        <v>344000</v>
      </c>
      <c r="AE6" s="7">
        <v>364000</v>
      </c>
      <c r="AF6" s="7">
        <v>362000</v>
      </c>
      <c r="AG6" s="7">
        <v>362000</v>
      </c>
      <c r="AH6" s="7">
        <v>354000</v>
      </c>
      <c r="AI6" s="7"/>
    </row>
    <row r="7" spans="1:35" s="3" customFormat="1" ht="24.95" customHeight="1">
      <c r="A7" s="51"/>
      <c r="B7" s="7" t="s">
        <v>41</v>
      </c>
      <c r="C7" s="7">
        <f>D7+'10月'!C7</f>
        <v>110092000</v>
      </c>
      <c r="D7" s="7">
        <f t="shared" si="0"/>
        <v>11002000</v>
      </c>
      <c r="E7" s="7">
        <v>372000</v>
      </c>
      <c r="F7" s="7">
        <v>374000</v>
      </c>
      <c r="G7" s="7">
        <v>370000</v>
      </c>
      <c r="H7" s="7">
        <v>374000</v>
      </c>
      <c r="I7" s="7">
        <v>364000</v>
      </c>
      <c r="J7" s="7">
        <v>368000</v>
      </c>
      <c r="K7" s="7">
        <v>362000</v>
      </c>
      <c r="L7" s="7">
        <v>374000</v>
      </c>
      <c r="M7" s="7">
        <v>376000</v>
      </c>
      <c r="N7" s="7">
        <v>372000</v>
      </c>
      <c r="O7" s="7">
        <v>374000</v>
      </c>
      <c r="P7" s="26">
        <v>372000</v>
      </c>
      <c r="Q7" s="7">
        <v>364000</v>
      </c>
      <c r="R7" s="7">
        <v>362000</v>
      </c>
      <c r="S7" s="7">
        <v>352000</v>
      </c>
      <c r="T7" s="7">
        <v>356000</v>
      </c>
      <c r="U7" s="7">
        <v>352000</v>
      </c>
      <c r="V7" s="7">
        <v>354000</v>
      </c>
      <c r="W7" s="7">
        <v>366000</v>
      </c>
      <c r="X7" s="7">
        <v>364000</v>
      </c>
      <c r="Y7" s="7">
        <v>368000</v>
      </c>
      <c r="Z7" s="7">
        <v>364000</v>
      </c>
      <c r="AA7" s="7">
        <v>370000</v>
      </c>
      <c r="AB7" s="7">
        <v>368000</v>
      </c>
      <c r="AC7" s="7">
        <v>372000</v>
      </c>
      <c r="AD7" s="7">
        <v>356000</v>
      </c>
      <c r="AE7" s="7">
        <v>370000</v>
      </c>
      <c r="AF7" s="7">
        <v>368000</v>
      </c>
      <c r="AG7" s="7">
        <v>368000</v>
      </c>
      <c r="AH7" s="7">
        <v>376000</v>
      </c>
      <c r="AI7" s="26"/>
    </row>
    <row r="8" spans="1:35" s="3" customFormat="1" ht="24.95" customHeight="1">
      <c r="A8" s="51"/>
      <c r="B8" s="7" t="s">
        <v>38</v>
      </c>
      <c r="C8" s="7">
        <f>D8+'10月'!C8</f>
        <v>215118000</v>
      </c>
      <c r="D8" s="7">
        <f t="shared" si="0"/>
        <v>21940000</v>
      </c>
      <c r="E8" s="7">
        <f>E6+E7</f>
        <v>746000</v>
      </c>
      <c r="F8" s="7">
        <f t="shared" ref="F8:AI8" si="2">F6+F7</f>
        <v>746000</v>
      </c>
      <c r="G8" s="7">
        <f t="shared" si="2"/>
        <v>740000</v>
      </c>
      <c r="H8" s="7">
        <f t="shared" si="2"/>
        <v>752000</v>
      </c>
      <c r="I8" s="7">
        <f t="shared" si="2"/>
        <v>734000</v>
      </c>
      <c r="J8" s="7">
        <f t="shared" si="2"/>
        <v>732000</v>
      </c>
      <c r="K8" s="7">
        <f t="shared" si="2"/>
        <v>730000</v>
      </c>
      <c r="L8" s="7">
        <f t="shared" si="2"/>
        <v>758000</v>
      </c>
      <c r="M8" s="7">
        <f t="shared" si="2"/>
        <v>756000</v>
      </c>
      <c r="N8" s="7">
        <f t="shared" si="2"/>
        <v>752000</v>
      </c>
      <c r="O8" s="7">
        <f t="shared" si="2"/>
        <v>756000</v>
      </c>
      <c r="P8" s="7">
        <f t="shared" si="2"/>
        <v>752000</v>
      </c>
      <c r="Q8" s="7">
        <f t="shared" si="2"/>
        <v>724000</v>
      </c>
      <c r="R8" s="7">
        <f t="shared" si="2"/>
        <v>724000</v>
      </c>
      <c r="S8" s="7">
        <f t="shared" si="2"/>
        <v>706000</v>
      </c>
      <c r="T8" s="7">
        <f t="shared" si="2"/>
        <v>708000</v>
      </c>
      <c r="U8" s="7">
        <f t="shared" si="2"/>
        <v>696000</v>
      </c>
      <c r="V8" s="7">
        <f t="shared" si="2"/>
        <v>708000</v>
      </c>
      <c r="W8" s="7">
        <f t="shared" si="2"/>
        <v>728000</v>
      </c>
      <c r="X8" s="7">
        <f t="shared" si="2"/>
        <v>718000</v>
      </c>
      <c r="Y8" s="7">
        <f t="shared" si="2"/>
        <v>726000</v>
      </c>
      <c r="Z8" s="7">
        <f t="shared" si="2"/>
        <v>728000</v>
      </c>
      <c r="AA8" s="7">
        <f t="shared" si="2"/>
        <v>732000</v>
      </c>
      <c r="AB8" s="7">
        <f t="shared" si="2"/>
        <v>732000</v>
      </c>
      <c r="AC8" s="7">
        <f t="shared" si="2"/>
        <v>732000</v>
      </c>
      <c r="AD8" s="7">
        <f t="shared" si="2"/>
        <v>700000</v>
      </c>
      <c r="AE8" s="7">
        <f t="shared" si="2"/>
        <v>734000</v>
      </c>
      <c r="AF8" s="7">
        <f t="shared" si="2"/>
        <v>730000</v>
      </c>
      <c r="AG8" s="7">
        <f t="shared" si="2"/>
        <v>730000</v>
      </c>
      <c r="AH8" s="7">
        <f t="shared" si="2"/>
        <v>730000</v>
      </c>
      <c r="AI8" s="7">
        <f t="shared" si="2"/>
        <v>0</v>
      </c>
    </row>
    <row r="9" spans="1:35" s="3" customFormat="1" ht="24.95" customHeight="1">
      <c r="A9" s="51" t="s">
        <v>42</v>
      </c>
      <c r="B9" s="7" t="s">
        <v>38</v>
      </c>
      <c r="C9" s="7">
        <f>D9+'10月'!C9</f>
        <v>185330000</v>
      </c>
      <c r="D9" s="7">
        <f t="shared" si="0"/>
        <v>19304000</v>
      </c>
      <c r="E9" s="7">
        <v>652000</v>
      </c>
      <c r="F9" s="7">
        <v>654000</v>
      </c>
      <c r="G9" s="7">
        <v>646000</v>
      </c>
      <c r="H9" s="7">
        <v>658000</v>
      </c>
      <c r="I9" s="7">
        <v>642000</v>
      </c>
      <c r="J9" s="7">
        <v>640000</v>
      </c>
      <c r="K9" s="7">
        <v>640000</v>
      </c>
      <c r="L9" s="7">
        <v>666000</v>
      </c>
      <c r="M9" s="7">
        <v>668000</v>
      </c>
      <c r="N9" s="7">
        <v>662000</v>
      </c>
      <c r="O9" s="7">
        <v>670000</v>
      </c>
      <c r="P9" s="7">
        <v>662000</v>
      </c>
      <c r="Q9" s="7">
        <v>640000</v>
      </c>
      <c r="R9" s="7">
        <v>638000</v>
      </c>
      <c r="S9" s="7">
        <v>618000</v>
      </c>
      <c r="T9" s="7">
        <v>626000</v>
      </c>
      <c r="U9" s="7">
        <v>610000</v>
      </c>
      <c r="V9" s="7">
        <v>620000</v>
      </c>
      <c r="W9" s="7">
        <v>642000</v>
      </c>
      <c r="X9" s="7">
        <v>630000</v>
      </c>
      <c r="Y9" s="7">
        <v>634000</v>
      </c>
      <c r="Z9" s="7">
        <v>640000</v>
      </c>
      <c r="AA9" s="7">
        <v>642000</v>
      </c>
      <c r="AB9" s="7">
        <v>650000</v>
      </c>
      <c r="AC9" s="7">
        <v>646000</v>
      </c>
      <c r="AD9" s="7">
        <v>620000</v>
      </c>
      <c r="AE9" s="7">
        <v>650000</v>
      </c>
      <c r="AF9" s="7">
        <v>648000</v>
      </c>
      <c r="AG9" s="7">
        <v>646000</v>
      </c>
      <c r="AH9" s="7">
        <v>644000</v>
      </c>
      <c r="AI9" s="7"/>
    </row>
    <row r="10" spans="1:35" s="3" customFormat="1" ht="24.95" customHeight="1">
      <c r="A10" s="51"/>
      <c r="B10" s="6" t="s">
        <v>43</v>
      </c>
      <c r="C10" s="8">
        <f>C8/C5</f>
        <v>503.7335451444244</v>
      </c>
      <c r="D10" s="8">
        <f>D8/D5</f>
        <v>521.97331607696856</v>
      </c>
      <c r="E10" s="8">
        <f t="shared" ref="E10:AI10" si="3">E8/E5</f>
        <v>553.0842230130487</v>
      </c>
      <c r="F10" s="8">
        <f t="shared" si="3"/>
        <v>538.31721749170151</v>
      </c>
      <c r="G10" s="8">
        <f t="shared" si="3"/>
        <v>541.09388710149165</v>
      </c>
      <c r="H10" s="8">
        <f t="shared" si="3"/>
        <v>548.3447571824413</v>
      </c>
      <c r="I10" s="8">
        <f t="shared" si="3"/>
        <v>548.25216611891244</v>
      </c>
      <c r="J10" s="8">
        <f t="shared" si="3"/>
        <v>528.63436123348015</v>
      </c>
      <c r="K10" s="8">
        <f t="shared" si="3"/>
        <v>539.38229643859904</v>
      </c>
      <c r="L10" s="8">
        <f t="shared" si="3"/>
        <v>539.92449604672697</v>
      </c>
      <c r="M10" s="8">
        <f t="shared" si="3"/>
        <v>547.42939898624184</v>
      </c>
      <c r="N10" s="8">
        <f t="shared" si="3"/>
        <v>525.87412587412587</v>
      </c>
      <c r="O10" s="8">
        <f t="shared" si="3"/>
        <v>545.7695639618828</v>
      </c>
      <c r="P10" s="8">
        <f t="shared" si="3"/>
        <v>530.17484489565709</v>
      </c>
      <c r="Q10" s="8">
        <f t="shared" si="3"/>
        <v>560.93592624157429</v>
      </c>
      <c r="R10" s="8">
        <f t="shared" si="3"/>
        <v>545.75606814412788</v>
      </c>
      <c r="S10" s="8">
        <f t="shared" si="3"/>
        <v>500.07083156254419</v>
      </c>
      <c r="T10" s="8">
        <f t="shared" si="3"/>
        <v>522.89512555391434</v>
      </c>
      <c r="U10" s="8">
        <f t="shared" si="3"/>
        <v>527.63247668865142</v>
      </c>
      <c r="V10" s="8">
        <f t="shared" si="3"/>
        <v>495.10489510489509</v>
      </c>
      <c r="W10" s="8">
        <f t="shared" si="3"/>
        <v>529.57008801920415</v>
      </c>
      <c r="X10" s="8">
        <f t="shared" si="3"/>
        <v>479.43376068376074</v>
      </c>
      <c r="Y10" s="8">
        <f t="shared" si="3"/>
        <v>514.89361702127655</v>
      </c>
      <c r="Z10" s="8">
        <f t="shared" si="3"/>
        <v>498.42530466931402</v>
      </c>
      <c r="AA10" s="8">
        <f t="shared" si="3"/>
        <v>466.95585608573617</v>
      </c>
      <c r="AB10" s="8">
        <f t="shared" si="3"/>
        <v>480.34647942778395</v>
      </c>
      <c r="AC10" s="8">
        <f t="shared" si="3"/>
        <v>528.32912306026708</v>
      </c>
      <c r="AD10" s="8">
        <f t="shared" si="3"/>
        <v>506.10946424698147</v>
      </c>
      <c r="AE10" s="8">
        <f t="shared" si="3"/>
        <v>529.3905517490083</v>
      </c>
      <c r="AF10" s="8">
        <f t="shared" si="3"/>
        <v>486.66666666666669</v>
      </c>
      <c r="AG10" s="8">
        <f t="shared" si="3"/>
        <v>539.10346355512888</v>
      </c>
      <c r="AH10" s="8">
        <f t="shared" si="3"/>
        <v>490.59139784946234</v>
      </c>
      <c r="AI10" s="8" t="e">
        <f t="shared" si="3"/>
        <v>#DIV/0!</v>
      </c>
    </row>
    <row r="11" spans="1:35" s="3" customFormat="1" ht="24.95" customHeight="1">
      <c r="A11" s="51"/>
      <c r="B11" s="9" t="s">
        <v>44</v>
      </c>
      <c r="C11" s="8">
        <f>(C8-C16)/C5</f>
        <v>433.97544814718378</v>
      </c>
      <c r="D11" s="8">
        <f>(D8-D16)/D5</f>
        <v>459.26038712624438</v>
      </c>
      <c r="E11" s="8">
        <f>(E8-E16)/E5</f>
        <v>483.3926453143535</v>
      </c>
      <c r="F11" s="8">
        <f>(F8-F16)/F5</f>
        <v>471.92957136671953</v>
      </c>
      <c r="G11" s="8">
        <f>(G8-G16)/G5</f>
        <v>472.36033928049142</v>
      </c>
      <c r="H11" s="8">
        <f>(H8-H16)/H5</f>
        <v>479.80166253463608</v>
      </c>
      <c r="I11" s="8">
        <f>(I8-I16)/I5</f>
        <v>479.53391096504333</v>
      </c>
      <c r="J11" s="8">
        <f>(J8-J16)/J5</f>
        <v>462.19397703473675</v>
      </c>
      <c r="K11" s="8">
        <f>(K8-K16)/K5</f>
        <v>472.88310920644301</v>
      </c>
      <c r="L11" s="8">
        <f>(L8-L16)/L5</f>
        <v>474.39276301730888</v>
      </c>
      <c r="M11" s="8">
        <f>(M8-M16)/M5</f>
        <v>483.70745836350471</v>
      </c>
      <c r="N11" s="8">
        <f>(N8-N16)/N5</f>
        <v>462.93706293706293</v>
      </c>
      <c r="O11" s="8">
        <f>(O8-O16)/O5</f>
        <v>483.68466647415534</v>
      </c>
      <c r="P11" s="8">
        <f>(P8-P16)/P5</f>
        <v>466.72306824591084</v>
      </c>
      <c r="Q11" s="8">
        <f>(Q8-Q16)/Q5</f>
        <v>495.85496242349109</v>
      </c>
      <c r="R11" s="8">
        <f>(R8-R16)/R5</f>
        <v>480.92868988391382</v>
      </c>
      <c r="S11" s="8">
        <f>(S8-S16)/S5</f>
        <v>437.73905652358684</v>
      </c>
      <c r="T11" s="8">
        <f>(T8-T16)/T5</f>
        <v>462.33382570162479</v>
      </c>
      <c r="U11" s="8">
        <f>(U8-U16)/U5</f>
        <v>462.43650974149045</v>
      </c>
      <c r="V11" s="8">
        <f>(V8-V16)/V5</f>
        <v>433.56643356643355</v>
      </c>
      <c r="W11" s="8">
        <f>(W8-W16)/W5</f>
        <v>467.01098421473773</v>
      </c>
      <c r="X11" s="8">
        <f>(X8-X16)/X5</f>
        <v>420.67307692307696</v>
      </c>
      <c r="Y11" s="8">
        <f>(Y8-Y16)/Y5</f>
        <v>449.64539007092196</v>
      </c>
      <c r="Z11" s="8">
        <f>(Z8-Z16)/Z5</f>
        <v>438.17609201697934</v>
      </c>
      <c r="AA11" s="8">
        <f>(AA8-AA16)/AA5</f>
        <v>409.54325082929319</v>
      </c>
      <c r="AB11" s="8">
        <f>(AB8-AB16)/AB5</f>
        <v>426.53717435527261</v>
      </c>
      <c r="AC11" s="8">
        <f>(AC8-AC16)/AC5</f>
        <v>466.25766871165644</v>
      </c>
      <c r="AD11" s="8">
        <f>(AD8-AD16)/AD5</f>
        <v>448.26838261875503</v>
      </c>
      <c r="AE11" s="8">
        <f>(AE8-AE16)/AE5</f>
        <v>468.80634691669673</v>
      </c>
      <c r="AF11" s="8">
        <f>(AF8-AF16)/AF5</f>
        <v>432</v>
      </c>
      <c r="AG11" s="8">
        <f>(AG8-AG16)/AG5</f>
        <v>477.06964035152504</v>
      </c>
      <c r="AH11" s="8">
        <f>(AH8-AH16)/AH5</f>
        <v>432.7956989247312</v>
      </c>
      <c r="AI11" s="8" t="e">
        <f>(AI8-AI16)/AI5</f>
        <v>#DIV/0!</v>
      </c>
    </row>
    <row r="12" spans="1:35" s="3" customFormat="1" ht="24.95" customHeight="1">
      <c r="A12" s="51"/>
      <c r="B12" s="6" t="s">
        <v>45</v>
      </c>
      <c r="C12" s="8">
        <f>D12+'10月'!C12</f>
        <v>482588.81599999993</v>
      </c>
      <c r="D12" s="8">
        <f t="shared" ref="D12:D17" si="4">SUM(E12:AI12)</f>
        <v>39412.180000000008</v>
      </c>
      <c r="E12" s="7">
        <v>1367.32</v>
      </c>
      <c r="F12" s="7">
        <v>1569.94</v>
      </c>
      <c r="G12" s="7">
        <v>1445</v>
      </c>
      <c r="H12" s="7">
        <v>1543</v>
      </c>
      <c r="I12" s="7">
        <v>1396.86</v>
      </c>
      <c r="J12" s="7">
        <v>1387.14</v>
      </c>
      <c r="K12" s="7">
        <v>1460.78</v>
      </c>
      <c r="L12" s="7">
        <v>1461.14</v>
      </c>
      <c r="M12" s="7">
        <v>1437.8</v>
      </c>
      <c r="N12" s="7">
        <v>1343.1</v>
      </c>
      <c r="O12" s="7">
        <v>1401.78</v>
      </c>
      <c r="P12" s="7">
        <v>1265.8399999999999</v>
      </c>
      <c r="Q12" s="7">
        <v>1276.6600000000001</v>
      </c>
      <c r="R12" s="7">
        <v>1294.98</v>
      </c>
      <c r="S12" s="7">
        <v>1396.86</v>
      </c>
      <c r="T12" s="7">
        <v>1616.36</v>
      </c>
      <c r="U12" s="7">
        <v>1603.9</v>
      </c>
      <c r="V12" s="7">
        <v>1446.46</v>
      </c>
      <c r="W12" s="7">
        <v>1364.08</v>
      </c>
      <c r="X12" s="7">
        <v>1232.22</v>
      </c>
      <c r="Y12" s="7">
        <v>1289.1400000000001</v>
      </c>
      <c r="Z12" s="7">
        <v>1189.44</v>
      </c>
      <c r="AA12" s="7">
        <v>1180.58</v>
      </c>
      <c r="AB12" s="7">
        <v>1121.94</v>
      </c>
      <c r="AC12" s="7">
        <v>1050.6199999999999</v>
      </c>
      <c r="AD12" s="12">
        <v>1056.3599999999999</v>
      </c>
      <c r="AE12" s="12">
        <v>982.82</v>
      </c>
      <c r="AF12" s="7">
        <v>1016.96</v>
      </c>
      <c r="AG12" s="7">
        <v>1124.1199999999999</v>
      </c>
      <c r="AH12" s="7">
        <f>1088.78+0.2</f>
        <v>1088.98</v>
      </c>
      <c r="AI12" s="7"/>
    </row>
    <row r="13" spans="1:35" s="3" customFormat="1" ht="24.95" customHeight="1">
      <c r="A13" s="52" t="s">
        <v>46</v>
      </c>
      <c r="B13" s="6" t="s">
        <v>36</v>
      </c>
      <c r="C13" s="8">
        <f>D13+'10月'!C13</f>
        <v>478548</v>
      </c>
      <c r="D13" s="10">
        <f t="shared" si="4"/>
        <v>47648</v>
      </c>
      <c r="E13" s="7">
        <f>520+514+545</f>
        <v>1579</v>
      </c>
      <c r="F13" s="7">
        <f>533+525+525</f>
        <v>1583</v>
      </c>
      <c r="G13" s="7">
        <f>537+531+517</f>
        <v>1585</v>
      </c>
      <c r="H13" s="7">
        <f>527+515+548</f>
        <v>1590</v>
      </c>
      <c r="I13" s="7">
        <f>511+531+547</f>
        <v>1589</v>
      </c>
      <c r="J13" s="7">
        <f>523+519+527</f>
        <v>1569</v>
      </c>
      <c r="K13" s="7">
        <f>541+528+523</f>
        <v>1592</v>
      </c>
      <c r="L13" s="7">
        <f>551+521+549</f>
        <v>1621</v>
      </c>
      <c r="M13" s="27">
        <f>521+543+538</f>
        <v>1602</v>
      </c>
      <c r="N13" s="7">
        <f>540+542+542</f>
        <v>1624</v>
      </c>
      <c r="O13" s="7">
        <f>537+538+531</f>
        <v>1606</v>
      </c>
      <c r="P13" s="27">
        <f>539+541+535</f>
        <v>1615</v>
      </c>
      <c r="Q13" s="7">
        <f>534+526+524</f>
        <v>1584</v>
      </c>
      <c r="R13" s="7">
        <f>528+522+520</f>
        <v>1570</v>
      </c>
      <c r="S13" s="7">
        <f>529+512+482</f>
        <v>1523</v>
      </c>
      <c r="T13" s="7">
        <f>520+511+506</f>
        <v>1537</v>
      </c>
      <c r="U13" s="7">
        <f>488+485+524</f>
        <v>1497</v>
      </c>
      <c r="V13" s="7">
        <f>517+511+510</f>
        <v>1538</v>
      </c>
      <c r="W13" s="7">
        <f>539+530+549</f>
        <v>1618</v>
      </c>
      <c r="X13" s="7">
        <f>525+522+536</f>
        <v>1583</v>
      </c>
      <c r="Y13" s="7">
        <f>534+531+531</f>
        <v>1596</v>
      </c>
      <c r="Z13" s="7">
        <f>525+524+536</f>
        <v>1585</v>
      </c>
      <c r="AA13" s="7">
        <f>531+530+529</f>
        <v>1590</v>
      </c>
      <c r="AB13" s="7">
        <f>543+526+539</f>
        <v>1608</v>
      </c>
      <c r="AC13" s="7">
        <f>542+551+536</f>
        <v>1629</v>
      </c>
      <c r="AD13" s="7">
        <f>530+479+547</f>
        <v>1556</v>
      </c>
      <c r="AE13" s="7">
        <f>537+532+547</f>
        <v>1616</v>
      </c>
      <c r="AF13" s="7">
        <f>528+540+550</f>
        <v>1618</v>
      </c>
      <c r="AG13" s="7">
        <f>552+548+534</f>
        <v>1634</v>
      </c>
      <c r="AH13" s="7">
        <f>538+528+545</f>
        <v>1611</v>
      </c>
      <c r="AI13" s="7"/>
    </row>
    <row r="14" spans="1:35" s="3" customFormat="1" ht="24.95" customHeight="1">
      <c r="A14" s="55"/>
      <c r="B14" s="6" t="s">
        <v>37</v>
      </c>
      <c r="C14" s="8">
        <f>D14+'10月'!C14</f>
        <v>497368</v>
      </c>
      <c r="D14" s="10">
        <f t="shared" si="4"/>
        <v>50162</v>
      </c>
      <c r="E14" s="7">
        <f>579+568+561</f>
        <v>1708</v>
      </c>
      <c r="F14" s="7">
        <f>574+570+575</f>
        <v>1719</v>
      </c>
      <c r="G14" s="7">
        <f>578+559+556</f>
        <v>1693</v>
      </c>
      <c r="H14" s="7">
        <f>591+592+570</f>
        <v>1753</v>
      </c>
      <c r="I14" s="7">
        <f>580+548+561</f>
        <v>1689</v>
      </c>
      <c r="J14" s="7">
        <f>570+569+570</f>
        <v>1709</v>
      </c>
      <c r="K14" s="7">
        <f>538+560+572</f>
        <v>1670</v>
      </c>
      <c r="L14" s="7">
        <f>556+583+569</f>
        <v>1708</v>
      </c>
      <c r="M14" s="27">
        <f>582+574+588</f>
        <v>1744</v>
      </c>
      <c r="N14" s="7">
        <f>577+572+572</f>
        <v>1721</v>
      </c>
      <c r="O14" s="7">
        <f>601+585+594</f>
        <v>1780</v>
      </c>
      <c r="P14" s="27">
        <f>619+574+554</f>
        <v>1747</v>
      </c>
      <c r="Q14" s="7">
        <f>542+552+528</f>
        <v>1622</v>
      </c>
      <c r="R14" s="7">
        <f>547+553+556</f>
        <v>1656</v>
      </c>
      <c r="S14" s="7">
        <f>554+540+536</f>
        <v>1630</v>
      </c>
      <c r="T14" s="7">
        <f>539+555+551</f>
        <v>1645</v>
      </c>
      <c r="U14" s="7">
        <f>544+517+548</f>
        <v>1609</v>
      </c>
      <c r="V14" s="7">
        <f>535+546+559</f>
        <v>1640</v>
      </c>
      <c r="W14" s="7">
        <f>549+555+550</f>
        <v>1654</v>
      </c>
      <c r="X14" s="7">
        <f>563+550+521</f>
        <v>1634</v>
      </c>
      <c r="Y14" s="7">
        <f>559+560+553</f>
        <v>1672</v>
      </c>
      <c r="Z14" s="7">
        <f>561+552+546</f>
        <v>1659</v>
      </c>
      <c r="AA14" s="7">
        <f>548+555+555</f>
        <v>1658</v>
      </c>
      <c r="AB14" s="7">
        <f>552+550+554</f>
        <v>1656</v>
      </c>
      <c r="AC14" s="7">
        <f>544+539+554</f>
        <v>1637</v>
      </c>
      <c r="AD14" s="7">
        <f>542+477+550</f>
        <v>1569</v>
      </c>
      <c r="AE14" s="7">
        <f>544+553+555</f>
        <v>1652</v>
      </c>
      <c r="AF14" s="7">
        <f>561+549+546</f>
        <v>1656</v>
      </c>
      <c r="AG14" s="7">
        <f>540+550+553</f>
        <v>1643</v>
      </c>
      <c r="AH14" s="7">
        <f>557+556+516</f>
        <v>1629</v>
      </c>
      <c r="AI14" s="7"/>
    </row>
    <row r="15" spans="1:35" s="3" customFormat="1" ht="24" customHeight="1">
      <c r="A15" s="56"/>
      <c r="B15" s="7" t="s">
        <v>38</v>
      </c>
      <c r="C15" s="8">
        <f>D15+'10月'!C15</f>
        <v>975916</v>
      </c>
      <c r="D15" s="7">
        <f t="shared" si="4"/>
        <v>97810</v>
      </c>
      <c r="E15" s="7">
        <f>E13+E14</f>
        <v>3287</v>
      </c>
      <c r="F15" s="7">
        <f t="shared" ref="F15:AI15" si="5">F13+F14</f>
        <v>3302</v>
      </c>
      <c r="G15" s="7">
        <f t="shared" si="5"/>
        <v>3278</v>
      </c>
      <c r="H15" s="7">
        <f t="shared" si="5"/>
        <v>3343</v>
      </c>
      <c r="I15" s="7">
        <f t="shared" si="5"/>
        <v>3278</v>
      </c>
      <c r="J15" s="7">
        <f t="shared" si="5"/>
        <v>3278</v>
      </c>
      <c r="K15" s="7">
        <f t="shared" si="5"/>
        <v>3262</v>
      </c>
      <c r="L15" s="7">
        <f t="shared" si="5"/>
        <v>3329</v>
      </c>
      <c r="M15" s="7">
        <f t="shared" si="5"/>
        <v>3346</v>
      </c>
      <c r="N15" s="7">
        <f t="shared" si="5"/>
        <v>3345</v>
      </c>
      <c r="O15" s="7">
        <f t="shared" si="5"/>
        <v>3386</v>
      </c>
      <c r="P15" s="7">
        <f t="shared" si="5"/>
        <v>3362</v>
      </c>
      <c r="Q15" s="7">
        <f t="shared" si="5"/>
        <v>3206</v>
      </c>
      <c r="R15" s="7">
        <f t="shared" si="5"/>
        <v>3226</v>
      </c>
      <c r="S15" s="7">
        <f t="shared" si="5"/>
        <v>3153</v>
      </c>
      <c r="T15" s="7">
        <f t="shared" si="5"/>
        <v>3182</v>
      </c>
      <c r="U15" s="7">
        <f t="shared" si="5"/>
        <v>3106</v>
      </c>
      <c r="V15" s="7">
        <f t="shared" si="5"/>
        <v>3178</v>
      </c>
      <c r="W15" s="7">
        <f t="shared" si="5"/>
        <v>3272</v>
      </c>
      <c r="X15" s="7">
        <f t="shared" si="5"/>
        <v>3217</v>
      </c>
      <c r="Y15" s="7">
        <f t="shared" si="5"/>
        <v>3268</v>
      </c>
      <c r="Z15" s="7">
        <f t="shared" si="5"/>
        <v>3244</v>
      </c>
      <c r="AA15" s="7">
        <f t="shared" si="5"/>
        <v>3248</v>
      </c>
      <c r="AB15" s="7">
        <f t="shared" si="5"/>
        <v>3264</v>
      </c>
      <c r="AC15" s="7">
        <f t="shared" si="5"/>
        <v>3266</v>
      </c>
      <c r="AD15" s="7">
        <f t="shared" si="5"/>
        <v>3125</v>
      </c>
      <c r="AE15" s="7">
        <f t="shared" si="5"/>
        <v>3268</v>
      </c>
      <c r="AF15" s="7">
        <f t="shared" si="5"/>
        <v>3274</v>
      </c>
      <c r="AG15" s="7">
        <f t="shared" si="5"/>
        <v>3277</v>
      </c>
      <c r="AH15" s="7">
        <f t="shared" si="5"/>
        <v>3240</v>
      </c>
      <c r="AI15" s="7">
        <f t="shared" si="5"/>
        <v>0</v>
      </c>
    </row>
    <row r="16" spans="1:35" s="3" customFormat="1" ht="24.95" customHeight="1">
      <c r="A16" s="51" t="s">
        <v>47</v>
      </c>
      <c r="B16" s="7" t="s">
        <v>38</v>
      </c>
      <c r="C16" s="8">
        <f>D16+'10月'!C16</f>
        <v>29790000</v>
      </c>
      <c r="D16" s="7">
        <f t="shared" si="4"/>
        <v>2636000</v>
      </c>
      <c r="E16" s="7">
        <v>94000</v>
      </c>
      <c r="F16" s="7">
        <v>92000</v>
      </c>
      <c r="G16" s="7">
        <v>94000</v>
      </c>
      <c r="H16" s="7">
        <v>94000</v>
      </c>
      <c r="I16" s="7">
        <v>92000</v>
      </c>
      <c r="J16" s="7">
        <v>92000</v>
      </c>
      <c r="K16" s="7">
        <v>90000</v>
      </c>
      <c r="L16" s="7">
        <v>92000</v>
      </c>
      <c r="M16" s="7">
        <v>88000</v>
      </c>
      <c r="N16" s="7">
        <v>90000</v>
      </c>
      <c r="O16" s="7">
        <v>86000</v>
      </c>
      <c r="P16" s="7">
        <v>90000</v>
      </c>
      <c r="Q16" s="7">
        <v>84000</v>
      </c>
      <c r="R16" s="7">
        <v>86000</v>
      </c>
      <c r="S16" s="7">
        <v>88000</v>
      </c>
      <c r="T16" s="7">
        <v>82000</v>
      </c>
      <c r="U16" s="7">
        <v>86000</v>
      </c>
      <c r="V16" s="7">
        <v>88000</v>
      </c>
      <c r="W16" s="7">
        <v>86000</v>
      </c>
      <c r="X16" s="7">
        <v>88000</v>
      </c>
      <c r="Y16" s="7">
        <v>92000</v>
      </c>
      <c r="Z16" s="7">
        <v>88000</v>
      </c>
      <c r="AA16" s="7">
        <v>90000</v>
      </c>
      <c r="AB16" s="7">
        <v>82000</v>
      </c>
      <c r="AC16" s="7">
        <v>86000</v>
      </c>
      <c r="AD16" s="7">
        <v>80000</v>
      </c>
      <c r="AE16" s="7">
        <v>84000</v>
      </c>
      <c r="AF16" s="7">
        <v>82000</v>
      </c>
      <c r="AG16" s="7">
        <v>84000</v>
      </c>
      <c r="AH16" s="7">
        <v>86000</v>
      </c>
      <c r="AI16" s="7"/>
    </row>
    <row r="17" spans="1:35" s="3" customFormat="1" ht="24.95" customHeight="1">
      <c r="A17" s="51"/>
      <c r="B17" s="7" t="s">
        <v>77</v>
      </c>
      <c r="C17" s="8">
        <f>D17+'10月'!C17</f>
        <v>1544740</v>
      </c>
      <c r="D17" s="7">
        <f t="shared" si="4"/>
        <v>69165</v>
      </c>
      <c r="E17" s="7">
        <v>3165</v>
      </c>
      <c r="F17" s="7">
        <v>3495</v>
      </c>
      <c r="G17" s="7">
        <v>5205</v>
      </c>
      <c r="H17" s="7">
        <v>3990</v>
      </c>
      <c r="I17" s="7">
        <v>2865</v>
      </c>
      <c r="J17" s="7">
        <v>3225</v>
      </c>
      <c r="K17" s="7">
        <v>2925</v>
      </c>
      <c r="L17" s="7">
        <v>2745</v>
      </c>
      <c r="M17" s="7">
        <v>2325</v>
      </c>
      <c r="N17" s="7">
        <v>1665</v>
      </c>
      <c r="O17" s="7">
        <v>1620</v>
      </c>
      <c r="P17" s="7">
        <v>1890</v>
      </c>
      <c r="Q17" s="7">
        <v>1710</v>
      </c>
      <c r="R17" s="7">
        <v>2070</v>
      </c>
      <c r="S17" s="7">
        <v>2460</v>
      </c>
      <c r="T17" s="7">
        <v>1650</v>
      </c>
      <c r="U17" s="7">
        <v>1845</v>
      </c>
      <c r="V17" s="7">
        <v>2250</v>
      </c>
      <c r="W17" s="7">
        <v>1815</v>
      </c>
      <c r="X17" s="7">
        <v>1695</v>
      </c>
      <c r="Y17" s="7">
        <v>1770</v>
      </c>
      <c r="Z17" s="7">
        <v>2310</v>
      </c>
      <c r="AA17" s="7">
        <v>1545</v>
      </c>
      <c r="AB17" s="7">
        <v>1710</v>
      </c>
      <c r="AC17" s="7">
        <v>1710</v>
      </c>
      <c r="AD17" s="7">
        <v>1575</v>
      </c>
      <c r="AE17" s="7">
        <v>2145</v>
      </c>
      <c r="AF17" s="7">
        <v>1500</v>
      </c>
      <c r="AG17" s="7">
        <v>1740</v>
      </c>
      <c r="AH17" s="7">
        <v>2550</v>
      </c>
      <c r="AI17" s="7"/>
    </row>
    <row r="18" spans="1:35" s="3" customFormat="1" ht="24.95" customHeight="1">
      <c r="A18" s="51"/>
      <c r="B18" s="6" t="s">
        <v>48</v>
      </c>
      <c r="C18" s="11">
        <f>SUM(C16/C8)</f>
        <v>0.13848213538616017</v>
      </c>
      <c r="D18" s="11">
        <f>SUM(D16/D8)</f>
        <v>0.12014585232452142</v>
      </c>
      <c r="E18" s="11">
        <f>SUM(E16/E8)</f>
        <v>0.12600536193029491</v>
      </c>
      <c r="F18" s="11">
        <f>SUM(F16/F8)</f>
        <v>0.12332439678284182</v>
      </c>
      <c r="G18" s="11">
        <f>SUM(G16/G8)</f>
        <v>0.12702702702702703</v>
      </c>
      <c r="H18" s="11">
        <f>SUM(H16/H8)</f>
        <v>0.125</v>
      </c>
      <c r="I18" s="11">
        <f>SUM(I16/I8)</f>
        <v>0.12534059945504086</v>
      </c>
      <c r="J18" s="11">
        <f>SUM(J16/J8)</f>
        <v>0.12568306010928962</v>
      </c>
      <c r="K18" s="11">
        <f>SUM(K16/K8)</f>
        <v>0.12328767123287671</v>
      </c>
      <c r="L18" s="11">
        <f>SUM(L16/L8)</f>
        <v>0.12137203166226913</v>
      </c>
      <c r="M18" s="11">
        <f>SUM(M16/M8)</f>
        <v>0.1164021164021164</v>
      </c>
      <c r="N18" s="11">
        <f>SUM(N16/N8)</f>
        <v>0.11968085106382979</v>
      </c>
      <c r="O18" s="11">
        <f>SUM(O16/O8)</f>
        <v>0.11375661375661375</v>
      </c>
      <c r="P18" s="11">
        <f>SUM(P16/P8)</f>
        <v>0.11968085106382979</v>
      </c>
      <c r="Q18" s="11">
        <f>SUM(Q16/Q8)</f>
        <v>0.11602209944751381</v>
      </c>
      <c r="R18" s="11">
        <f>SUM(R16/R8)</f>
        <v>0.11878453038674033</v>
      </c>
      <c r="S18" s="11">
        <f>SUM(S16/S8)</f>
        <v>0.12464589235127478</v>
      </c>
      <c r="T18" s="11">
        <f>SUM(T16/T8)</f>
        <v>0.11581920903954802</v>
      </c>
      <c r="U18" s="11">
        <f>SUM(U16/U8)</f>
        <v>0.1235632183908046</v>
      </c>
      <c r="V18" s="11">
        <f>SUM(V16/V8)</f>
        <v>0.12429378531073447</v>
      </c>
      <c r="W18" s="11">
        <f>SUM(W16/W8)</f>
        <v>0.11813186813186813</v>
      </c>
      <c r="X18" s="11">
        <f>SUM(X16/X8)</f>
        <v>0.12256267409470752</v>
      </c>
      <c r="Y18" s="11">
        <f>SUM(Y16/Y8)</f>
        <v>0.12672176308539945</v>
      </c>
      <c r="Z18" s="11">
        <f>SUM(Z16/Z8)</f>
        <v>0.12087912087912088</v>
      </c>
      <c r="AA18" s="11">
        <f>SUM(AA16/AA8)</f>
        <v>0.12295081967213115</v>
      </c>
      <c r="AB18" s="11">
        <f>SUM(AB16/AB8)</f>
        <v>0.11202185792349727</v>
      </c>
      <c r="AC18" s="11">
        <f>SUM(AC16/AC8)</f>
        <v>0.11748633879781421</v>
      </c>
      <c r="AD18" s="11">
        <f>SUM(AD16/AD8)</f>
        <v>0.11428571428571428</v>
      </c>
      <c r="AE18" s="11">
        <f>SUM(AE16/AE8)</f>
        <v>0.11444141689373297</v>
      </c>
      <c r="AF18" s="11">
        <f>SUM(AF16/AF8)</f>
        <v>0.11232876712328767</v>
      </c>
      <c r="AG18" s="11">
        <f>SUM(AG16/AG8)</f>
        <v>0.11506849315068493</v>
      </c>
      <c r="AH18" s="11">
        <f>SUM(AH16/AH8)</f>
        <v>0.11780821917808219</v>
      </c>
      <c r="AI18" s="11" t="e">
        <f>SUM(AI16/AI8)</f>
        <v>#DIV/0!</v>
      </c>
    </row>
    <row r="19" spans="1:35" s="3" customFormat="1" ht="24.95" customHeight="1">
      <c r="A19" s="13"/>
      <c r="B19" s="13" t="s">
        <v>49</v>
      </c>
      <c r="C19" s="7">
        <f>D19+'10月'!C19</f>
        <v>153</v>
      </c>
      <c r="D19" s="7">
        <f t="shared" ref="D19" si="6">COUNT(E19:AI19)</f>
        <v>30</v>
      </c>
      <c r="E19" s="14">
        <v>21500</v>
      </c>
      <c r="F19" s="14">
        <v>21500</v>
      </c>
      <c r="G19" s="14">
        <v>21400</v>
      </c>
      <c r="H19" s="14">
        <v>21500</v>
      </c>
      <c r="I19" s="14">
        <v>21500</v>
      </c>
      <c r="J19" s="14">
        <v>21400</v>
      </c>
      <c r="K19" s="14">
        <v>21400</v>
      </c>
      <c r="L19" s="14">
        <v>21300</v>
      </c>
      <c r="M19" s="7">
        <v>21300</v>
      </c>
      <c r="N19" s="7">
        <v>21100</v>
      </c>
      <c r="O19" s="7">
        <v>21100</v>
      </c>
      <c r="P19" s="7">
        <v>20000</v>
      </c>
      <c r="Q19" s="7">
        <v>19800</v>
      </c>
      <c r="R19" s="7">
        <v>19700</v>
      </c>
      <c r="S19" s="7">
        <v>19600</v>
      </c>
      <c r="T19" s="7">
        <v>19700</v>
      </c>
      <c r="U19" s="7">
        <v>19900</v>
      </c>
      <c r="V19" s="7">
        <v>19800</v>
      </c>
      <c r="W19" s="7">
        <v>19700</v>
      </c>
      <c r="X19" s="7">
        <v>19400</v>
      </c>
      <c r="Y19" s="7">
        <v>19200</v>
      </c>
      <c r="Z19" s="7">
        <v>18800</v>
      </c>
      <c r="AA19" s="7">
        <v>18400</v>
      </c>
      <c r="AB19" s="7">
        <v>18000</v>
      </c>
      <c r="AC19" s="7">
        <v>17600</v>
      </c>
      <c r="AD19" s="7">
        <v>16500</v>
      </c>
      <c r="AE19" s="7">
        <v>16000</v>
      </c>
      <c r="AF19" s="7">
        <v>15500</v>
      </c>
      <c r="AG19" s="7">
        <v>15100</v>
      </c>
      <c r="AH19" s="7">
        <v>14600</v>
      </c>
      <c r="AI19" s="7"/>
    </row>
    <row r="20" spans="1:35" s="3" customFormat="1" ht="24.95" customHeight="1">
      <c r="A20" s="62" t="s">
        <v>50</v>
      </c>
      <c r="B20" s="13" t="s">
        <v>51</v>
      </c>
      <c r="C20" s="7">
        <f>D20+'10月'!C20</f>
        <v>95164.24</v>
      </c>
      <c r="D20" s="7">
        <f t="shared" ref="D20:D33" si="7">SUM(E20:AI20)</f>
        <v>9028.8600000000024</v>
      </c>
      <c r="E20" s="7">
        <v>270.74</v>
      </c>
      <c r="F20" s="15">
        <v>435.98</v>
      </c>
      <c r="G20" s="15">
        <v>361.72</v>
      </c>
      <c r="H20" s="15">
        <v>286.18</v>
      </c>
      <c r="I20" s="15">
        <v>340.9</v>
      </c>
      <c r="J20" s="15">
        <v>293.08</v>
      </c>
      <c r="K20" s="15">
        <v>308.98</v>
      </c>
      <c r="L20" s="15">
        <v>340.02</v>
      </c>
      <c r="M20" s="15">
        <v>316.7</v>
      </c>
      <c r="N20" s="15">
        <v>277.45999999999998</v>
      </c>
      <c r="O20" s="15">
        <v>316.08</v>
      </c>
      <c r="P20" s="15">
        <v>297.82</v>
      </c>
      <c r="Q20" s="15">
        <v>282.62</v>
      </c>
      <c r="R20" s="17">
        <v>260.64</v>
      </c>
      <c r="S20" s="15">
        <v>319.04000000000002</v>
      </c>
      <c r="T20" s="15">
        <v>320.56</v>
      </c>
      <c r="U20" s="15">
        <v>310.8</v>
      </c>
      <c r="V20" s="15">
        <v>351.98</v>
      </c>
      <c r="W20" s="15">
        <v>327.68</v>
      </c>
      <c r="X20" s="15">
        <v>315.18</v>
      </c>
      <c r="Y20" s="15">
        <v>301.38</v>
      </c>
      <c r="Z20" s="15">
        <v>278.52</v>
      </c>
      <c r="AA20" s="15">
        <v>289.98</v>
      </c>
      <c r="AB20" s="15">
        <v>286.8</v>
      </c>
      <c r="AC20" s="15">
        <v>253.56</v>
      </c>
      <c r="AD20" s="15">
        <v>274.08</v>
      </c>
      <c r="AE20" s="15">
        <v>236.62</v>
      </c>
      <c r="AF20" s="15">
        <v>254.88</v>
      </c>
      <c r="AG20" s="15">
        <v>240.76</v>
      </c>
      <c r="AH20" s="15">
        <v>278.12</v>
      </c>
      <c r="AI20" s="15"/>
    </row>
    <row r="21" spans="1:35" s="3" customFormat="1" ht="24.95" customHeight="1">
      <c r="A21" s="63"/>
      <c r="B21" s="16" t="s">
        <v>79</v>
      </c>
      <c r="C21" s="7">
        <f>D21+'10月'!C21</f>
        <v>10826.5</v>
      </c>
      <c r="D21" s="7">
        <f t="shared" si="7"/>
        <v>1783.4399999999998</v>
      </c>
      <c r="E21" s="17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7"/>
      <c r="S21" s="15"/>
      <c r="T21" s="15">
        <v>144.69999999999999</v>
      </c>
      <c r="U21" s="15">
        <v>191.28</v>
      </c>
      <c r="V21" s="15">
        <v>204</v>
      </c>
      <c r="W21" s="15">
        <v>147.13999999999999</v>
      </c>
      <c r="X21" s="15">
        <v>59.84</v>
      </c>
      <c r="Y21" s="15">
        <v>103.26</v>
      </c>
      <c r="Z21" s="15">
        <v>99.9</v>
      </c>
      <c r="AA21" s="15">
        <v>104.7</v>
      </c>
      <c r="AB21" s="15">
        <v>112.82</v>
      </c>
      <c r="AC21" s="15">
        <v>99.68</v>
      </c>
      <c r="AD21" s="15">
        <v>103.98</v>
      </c>
      <c r="AE21" s="15">
        <v>98.8</v>
      </c>
      <c r="AF21" s="15">
        <v>103.04</v>
      </c>
      <c r="AG21" s="15">
        <v>103.52</v>
      </c>
      <c r="AH21" s="15">
        <v>106.78</v>
      </c>
      <c r="AI21" s="15"/>
    </row>
    <row r="22" spans="1:35" s="3" customFormat="1" ht="24.95" customHeight="1">
      <c r="A22" s="63"/>
      <c r="B22" s="16" t="s">
        <v>53</v>
      </c>
      <c r="C22" s="7">
        <f>D22+'10月'!C22</f>
        <v>0</v>
      </c>
      <c r="D22" s="7">
        <f t="shared" si="7"/>
        <v>0</v>
      </c>
      <c r="E22" s="17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4.95" customHeight="1">
      <c r="A23" s="63"/>
      <c r="B23" s="13" t="s">
        <v>54</v>
      </c>
      <c r="C23" s="7">
        <f>D23+'10月'!C23</f>
        <v>2536.52</v>
      </c>
      <c r="D23" s="7">
        <f t="shared" si="7"/>
        <v>0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3" t="s">
        <v>55</v>
      </c>
      <c r="C24" s="7">
        <f>D24+'10月'!C24</f>
        <v>2890.84</v>
      </c>
      <c r="D24" s="7">
        <f t="shared" si="7"/>
        <v>0</v>
      </c>
      <c r="E24" s="17"/>
      <c r="F24" s="15"/>
      <c r="G24" s="15"/>
      <c r="H24" s="15"/>
      <c r="I24" s="17"/>
      <c r="J24" s="17"/>
      <c r="K24" s="15"/>
      <c r="L24" s="17"/>
      <c r="M24" s="15"/>
      <c r="N24" s="15"/>
      <c r="O24" s="15"/>
      <c r="P24" s="17"/>
      <c r="Q24" s="15"/>
      <c r="R24" s="17"/>
      <c r="S24" s="15"/>
      <c r="T24" s="17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7"/>
      <c r="AI24" s="15"/>
    </row>
    <row r="25" spans="1:35" s="3" customFormat="1" ht="22.15" customHeight="1">
      <c r="A25" s="63"/>
      <c r="B25" s="18" t="s">
        <v>52</v>
      </c>
      <c r="C25" s="7">
        <f>D25+'10月'!C25</f>
        <v>504.65999999999997</v>
      </c>
      <c r="D25" s="7">
        <f t="shared" si="7"/>
        <v>179.16</v>
      </c>
      <c r="E25" s="17">
        <v>76.8</v>
      </c>
      <c r="F25" s="15">
        <v>76.48</v>
      </c>
      <c r="G25" s="15">
        <v>25.88</v>
      </c>
      <c r="H25" s="15"/>
      <c r="I25" s="17"/>
      <c r="J25" s="17"/>
      <c r="K25" s="15"/>
      <c r="L25" s="17"/>
      <c r="M25" s="15"/>
      <c r="N25" s="15"/>
      <c r="O25" s="15"/>
      <c r="P25" s="17"/>
      <c r="Q25" s="15"/>
      <c r="R25" s="17"/>
      <c r="S25" s="15"/>
      <c r="T25" s="17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7"/>
      <c r="AI25" s="15"/>
    </row>
    <row r="26" spans="1:35" s="3" customFormat="1" ht="22.15" customHeight="1">
      <c r="A26" s="63"/>
      <c r="B26" s="16" t="s">
        <v>57</v>
      </c>
      <c r="C26" s="7">
        <f>D26+'10月'!C26</f>
        <v>81243.740000000005</v>
      </c>
      <c r="D26" s="7">
        <f t="shared" si="7"/>
        <v>7065.0400000000018</v>
      </c>
      <c r="E26" s="17">
        <v>287.64</v>
      </c>
      <c r="F26" s="15">
        <v>257.76</v>
      </c>
      <c r="G26" s="15">
        <v>256.89999999999998</v>
      </c>
      <c r="H26" s="15">
        <v>257.42</v>
      </c>
      <c r="I26" s="17">
        <v>228.62</v>
      </c>
      <c r="J26" s="17">
        <v>224.74</v>
      </c>
      <c r="K26" s="15">
        <v>248.76</v>
      </c>
      <c r="L26" s="17">
        <v>246.42</v>
      </c>
      <c r="M26" s="15">
        <v>258.10000000000002</v>
      </c>
      <c r="N26" s="15">
        <v>229.14</v>
      </c>
      <c r="O26" s="15">
        <v>244.46</v>
      </c>
      <c r="P26" s="17">
        <v>184.38</v>
      </c>
      <c r="Q26" s="15">
        <v>227.18</v>
      </c>
      <c r="R26" s="17">
        <v>235.98</v>
      </c>
      <c r="S26" s="15">
        <v>241.26</v>
      </c>
      <c r="T26" s="17">
        <v>219.28</v>
      </c>
      <c r="U26" s="15">
        <v>245.84</v>
      </c>
      <c r="V26" s="15">
        <v>218.38</v>
      </c>
      <c r="W26" s="15">
        <v>223.78</v>
      </c>
      <c r="X26" s="15">
        <v>228.7</v>
      </c>
      <c r="Y26" s="15">
        <v>239.72</v>
      </c>
      <c r="Z26" s="15">
        <v>232.42</v>
      </c>
      <c r="AA26" s="15">
        <v>260.92</v>
      </c>
      <c r="AB26" s="15">
        <v>206.92</v>
      </c>
      <c r="AC26" s="15">
        <v>230.56</v>
      </c>
      <c r="AD26" s="15">
        <v>218.38</v>
      </c>
      <c r="AE26" s="15">
        <v>230.68</v>
      </c>
      <c r="AF26" s="15">
        <v>207.64</v>
      </c>
      <c r="AG26" s="15">
        <v>239.02</v>
      </c>
      <c r="AH26" s="17">
        <v>234.04</v>
      </c>
      <c r="AI26" s="15"/>
    </row>
    <row r="27" spans="1:35" s="3" customFormat="1" ht="22.15" customHeight="1">
      <c r="A27" s="63"/>
      <c r="B27" s="16" t="s">
        <v>78</v>
      </c>
      <c r="C27" s="7">
        <f>D27+'10月'!C27</f>
        <v>2641.76</v>
      </c>
      <c r="D27" s="7">
        <f t="shared" si="7"/>
        <v>0</v>
      </c>
      <c r="E27" s="17"/>
      <c r="F27" s="15"/>
      <c r="G27" s="15"/>
      <c r="H27" s="15"/>
      <c r="I27" s="17"/>
      <c r="J27" s="17"/>
      <c r="K27" s="15"/>
      <c r="L27" s="17"/>
      <c r="M27" s="15"/>
      <c r="N27" s="15"/>
      <c r="O27" s="15"/>
      <c r="P27" s="17"/>
      <c r="Q27" s="15"/>
      <c r="R27" s="17"/>
      <c r="S27" s="15"/>
      <c r="T27" s="17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7"/>
      <c r="AI27" s="15"/>
    </row>
    <row r="28" spans="1:35" s="3" customFormat="1" ht="22.15" customHeight="1">
      <c r="A28" s="63"/>
      <c r="B28" s="19" t="s">
        <v>59</v>
      </c>
      <c r="C28" s="7">
        <f>D28+'10月'!C28</f>
        <v>54190.36</v>
      </c>
      <c r="D28" s="7">
        <f t="shared" si="7"/>
        <v>3905.2800000000007</v>
      </c>
      <c r="E28" s="17">
        <v>191.12</v>
      </c>
      <c r="F28" s="15">
        <v>184.44</v>
      </c>
      <c r="G28" s="15">
        <v>205.22</v>
      </c>
      <c r="H28" s="15">
        <v>203.56</v>
      </c>
      <c r="I28" s="17">
        <v>151.18</v>
      </c>
      <c r="J28" s="17">
        <v>194.48</v>
      </c>
      <c r="K28" s="15">
        <v>174.92</v>
      </c>
      <c r="L28" s="17">
        <v>188.56</v>
      </c>
      <c r="M28" s="15">
        <v>204.24</v>
      </c>
      <c r="N28" s="15">
        <v>183.32</v>
      </c>
      <c r="O28" s="15">
        <v>152.16</v>
      </c>
      <c r="P28" s="17">
        <v>175.2</v>
      </c>
      <c r="Q28" s="15">
        <v>165.52</v>
      </c>
      <c r="R28" s="17">
        <v>180.02</v>
      </c>
      <c r="S28" s="15">
        <v>170.34</v>
      </c>
      <c r="T28" s="17">
        <v>204.8</v>
      </c>
      <c r="U28" s="15">
        <v>154.36000000000001</v>
      </c>
      <c r="V28" s="15">
        <v>181.24</v>
      </c>
      <c r="W28" s="15">
        <v>179.36</v>
      </c>
      <c r="X28" s="15">
        <v>177.5</v>
      </c>
      <c r="Y28" s="15">
        <v>178.38</v>
      </c>
      <c r="Z28" s="15">
        <v>105.36</v>
      </c>
      <c r="AA28" s="15"/>
      <c r="AB28" s="15"/>
      <c r="AC28" s="15"/>
      <c r="AD28" s="15"/>
      <c r="AE28" s="15"/>
      <c r="AF28" s="15"/>
      <c r="AG28" s="15"/>
      <c r="AH28" s="17"/>
      <c r="AI28" s="15"/>
    </row>
    <row r="29" spans="1:35" s="3" customFormat="1" ht="22.15" customHeight="1">
      <c r="A29" s="63"/>
      <c r="B29" s="19" t="s">
        <v>60</v>
      </c>
      <c r="C29" s="7">
        <f>D29+'10月'!C29</f>
        <v>57589.719999999994</v>
      </c>
      <c r="D29" s="7">
        <f t="shared" si="7"/>
        <v>2653.94</v>
      </c>
      <c r="E29" s="17">
        <v>158.18</v>
      </c>
      <c r="F29" s="15">
        <v>172.58</v>
      </c>
      <c r="G29" s="15">
        <v>152.08000000000001</v>
      </c>
      <c r="H29" s="15">
        <v>159.12</v>
      </c>
      <c r="I29" s="17">
        <v>137.32</v>
      </c>
      <c r="J29" s="17">
        <v>127.46</v>
      </c>
      <c r="K29" s="15">
        <v>177.9</v>
      </c>
      <c r="L29" s="17">
        <v>151.12</v>
      </c>
      <c r="M29" s="15">
        <v>165.08</v>
      </c>
      <c r="N29" s="15">
        <v>143.74</v>
      </c>
      <c r="O29" s="15">
        <v>139.84</v>
      </c>
      <c r="P29" s="17">
        <v>150</v>
      </c>
      <c r="Q29" s="15">
        <v>138.46</v>
      </c>
      <c r="R29" s="17">
        <v>161.6</v>
      </c>
      <c r="S29" s="15">
        <v>130.32</v>
      </c>
      <c r="T29" s="17">
        <v>141.18</v>
      </c>
      <c r="U29" s="15">
        <v>153.94</v>
      </c>
      <c r="V29" s="15">
        <v>94.02</v>
      </c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7"/>
      <c r="AI29" s="15"/>
    </row>
    <row r="30" spans="1:35" s="3" customFormat="1" ht="22.15" customHeight="1">
      <c r="A30" s="63"/>
      <c r="B30" s="19" t="s">
        <v>61</v>
      </c>
      <c r="C30" s="7">
        <f>D30+'10月'!C30</f>
        <v>174242.9</v>
      </c>
      <c r="D30" s="7">
        <f t="shared" si="7"/>
        <v>14796.259999999997</v>
      </c>
      <c r="E30" s="17">
        <v>382.84</v>
      </c>
      <c r="F30" s="15">
        <v>442.7</v>
      </c>
      <c r="G30" s="15">
        <v>443.2</v>
      </c>
      <c r="H30" s="15">
        <v>636.72</v>
      </c>
      <c r="I30" s="17">
        <v>538.84</v>
      </c>
      <c r="J30" s="17">
        <v>547.38</v>
      </c>
      <c r="K30" s="15">
        <v>550.22</v>
      </c>
      <c r="L30" s="17">
        <v>535.02</v>
      </c>
      <c r="M30" s="15">
        <v>493.68</v>
      </c>
      <c r="N30" s="15">
        <v>509.44</v>
      </c>
      <c r="O30" s="15">
        <v>549.24</v>
      </c>
      <c r="P30" s="17">
        <v>458.44</v>
      </c>
      <c r="Q30" s="15">
        <v>462.88</v>
      </c>
      <c r="R30" s="17">
        <v>456.74</v>
      </c>
      <c r="S30" s="15">
        <v>535.9</v>
      </c>
      <c r="T30" s="17">
        <v>585.84</v>
      </c>
      <c r="U30" s="15">
        <v>547.67999999999995</v>
      </c>
      <c r="V30" s="15">
        <v>396.84</v>
      </c>
      <c r="W30" s="15">
        <v>486.12</v>
      </c>
      <c r="X30" s="15">
        <v>451</v>
      </c>
      <c r="Y30" s="15">
        <v>466.4</v>
      </c>
      <c r="Z30" s="15">
        <v>473.24</v>
      </c>
      <c r="AA30" s="15">
        <v>524.98</v>
      </c>
      <c r="AB30" s="15">
        <v>515.4</v>
      </c>
      <c r="AC30" s="15">
        <v>466.82</v>
      </c>
      <c r="AD30" s="15">
        <v>459.92</v>
      </c>
      <c r="AE30" s="15">
        <v>416.72</v>
      </c>
      <c r="AF30" s="15">
        <v>451.4</v>
      </c>
      <c r="AG30" s="15">
        <v>540.82000000000005</v>
      </c>
      <c r="AH30" s="17">
        <v>469.84</v>
      </c>
      <c r="AI30" s="15"/>
    </row>
    <row r="31" spans="1:35" s="3" customFormat="1" ht="22.15" customHeight="1">
      <c r="A31" s="63"/>
      <c r="B31" s="19" t="s">
        <v>62</v>
      </c>
      <c r="C31" s="7">
        <f>D31+'10月'!C31</f>
        <v>45</v>
      </c>
      <c r="D31" s="7">
        <f t="shared" si="7"/>
        <v>0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7"/>
      <c r="AI31" s="15"/>
    </row>
    <row r="32" spans="1:35" s="3" customFormat="1" ht="22.15" customHeight="1">
      <c r="A32" s="63"/>
      <c r="B32" s="19" t="s">
        <v>63</v>
      </c>
      <c r="C32" s="7">
        <f>D32+'10月'!C32</f>
        <v>0</v>
      </c>
      <c r="D32" s="7">
        <f t="shared" si="7"/>
        <v>0</v>
      </c>
      <c r="E32" s="17"/>
      <c r="F32" s="15"/>
      <c r="G32" s="15"/>
      <c r="H32" s="15"/>
      <c r="I32" s="17"/>
      <c r="J32" s="17"/>
      <c r="K32" s="15"/>
      <c r="L32" s="17"/>
      <c r="M32" s="15"/>
      <c r="N32" s="15"/>
      <c r="O32" s="15"/>
      <c r="P32" s="17"/>
      <c r="Q32" s="15"/>
      <c r="R32" s="17"/>
      <c r="S32" s="15"/>
      <c r="T32" s="17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7"/>
      <c r="AI32" s="15"/>
    </row>
    <row r="33" spans="1:35" s="3" customFormat="1" ht="22.15" customHeight="1">
      <c r="A33" s="63"/>
      <c r="B33" s="19" t="s">
        <v>64</v>
      </c>
      <c r="C33" s="7">
        <f>D33+'10月'!C33</f>
        <v>712.58</v>
      </c>
      <c r="D33" s="7">
        <f t="shared" si="7"/>
        <v>0.2</v>
      </c>
      <c r="E33" s="17"/>
      <c r="F33" s="15"/>
      <c r="G33" s="15"/>
      <c r="H33" s="15"/>
      <c r="I33" s="17"/>
      <c r="J33" s="17"/>
      <c r="K33" s="15"/>
      <c r="L33" s="17"/>
      <c r="M33" s="15"/>
      <c r="N33" s="15"/>
      <c r="O33" s="15"/>
      <c r="P33" s="17"/>
      <c r="Q33" s="15"/>
      <c r="R33" s="17"/>
      <c r="S33" s="15"/>
      <c r="T33" s="17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28"/>
      <c r="AF33" s="28"/>
      <c r="AG33" s="15"/>
      <c r="AH33" s="17">
        <v>0.2</v>
      </c>
      <c r="AI33" s="15"/>
    </row>
    <row r="34" spans="1:35" s="3" customFormat="1" ht="22.15" hidden="1" customHeight="1">
      <c r="A34" s="63"/>
      <c r="B34" s="19"/>
      <c r="C34" s="7">
        <f>D34+'10月'!C34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5"/>
      <c r="AF34" s="17"/>
      <c r="AG34" s="17"/>
      <c r="AH34" s="17"/>
      <c r="AI34" s="17"/>
    </row>
    <row r="35" spans="1:35" s="3" customFormat="1" ht="22.15" hidden="1" customHeight="1">
      <c r="A35" s="63"/>
      <c r="B35" s="19"/>
      <c r="C35" s="7">
        <f>D35+'10月'!C35</f>
        <v>0</v>
      </c>
      <c r="D35" s="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3" customFormat="1" ht="26.1" customHeight="1">
      <c r="A36" s="64"/>
      <c r="B36" s="12" t="s">
        <v>65</v>
      </c>
      <c r="C36" s="7">
        <f>D36+'10月'!C36</f>
        <v>482588.81999999989</v>
      </c>
      <c r="D36" s="7">
        <f>SUM(D20:D35)</f>
        <v>39412.18</v>
      </c>
      <c r="E36" s="7">
        <f t="shared" ref="E36:AI36" si="8">SUM(E20:E35)</f>
        <v>1367.32</v>
      </c>
      <c r="F36" s="7">
        <f t="shared" si="8"/>
        <v>1569.94</v>
      </c>
      <c r="G36" s="7">
        <f t="shared" si="8"/>
        <v>1445</v>
      </c>
      <c r="H36" s="7">
        <f t="shared" si="8"/>
        <v>1543</v>
      </c>
      <c r="I36" s="7">
        <f t="shared" si="8"/>
        <v>1396.8600000000001</v>
      </c>
      <c r="J36" s="7">
        <f t="shared" si="8"/>
        <v>1387.1399999999999</v>
      </c>
      <c r="K36" s="7">
        <f t="shared" si="8"/>
        <v>1460.78</v>
      </c>
      <c r="L36" s="7">
        <f t="shared" si="8"/>
        <v>1461.1399999999999</v>
      </c>
      <c r="M36" s="7">
        <f t="shared" si="8"/>
        <v>1437.8</v>
      </c>
      <c r="N36" s="7">
        <f t="shared" si="8"/>
        <v>1343.1</v>
      </c>
      <c r="O36" s="7">
        <f t="shared" si="8"/>
        <v>1401.78</v>
      </c>
      <c r="P36" s="7">
        <f t="shared" si="8"/>
        <v>1265.8399999999999</v>
      </c>
      <c r="Q36" s="7">
        <f t="shared" si="8"/>
        <v>1276.6600000000001</v>
      </c>
      <c r="R36" s="7">
        <f t="shared" si="8"/>
        <v>1294.98</v>
      </c>
      <c r="S36" s="7">
        <f t="shared" si="8"/>
        <v>1396.8600000000001</v>
      </c>
      <c r="T36" s="7">
        <f t="shared" si="8"/>
        <v>1616.3600000000001</v>
      </c>
      <c r="U36" s="7">
        <f t="shared" si="8"/>
        <v>1603.9</v>
      </c>
      <c r="V36" s="7">
        <f t="shared" si="8"/>
        <v>1446.46</v>
      </c>
      <c r="W36" s="7">
        <f t="shared" si="8"/>
        <v>1364.08</v>
      </c>
      <c r="X36" s="7">
        <f t="shared" si="8"/>
        <v>1232.22</v>
      </c>
      <c r="Y36" s="7">
        <f t="shared" si="8"/>
        <v>1289.1399999999999</v>
      </c>
      <c r="Z36" s="7">
        <f t="shared" si="8"/>
        <v>1189.44</v>
      </c>
      <c r="AA36" s="7">
        <f t="shared" si="8"/>
        <v>1180.58</v>
      </c>
      <c r="AB36" s="7">
        <f t="shared" si="8"/>
        <v>1121.94</v>
      </c>
      <c r="AC36" s="7">
        <f t="shared" si="8"/>
        <v>1050.6199999999999</v>
      </c>
      <c r="AD36" s="7">
        <f t="shared" si="8"/>
        <v>1056.3600000000001</v>
      </c>
      <c r="AE36" s="7">
        <f t="shared" si="8"/>
        <v>982.82</v>
      </c>
      <c r="AF36" s="7">
        <f t="shared" si="8"/>
        <v>1016.9599999999999</v>
      </c>
      <c r="AG36" s="7">
        <f t="shared" si="8"/>
        <v>1124.1199999999999</v>
      </c>
      <c r="AH36" s="7">
        <f t="shared" si="8"/>
        <v>1088.98</v>
      </c>
      <c r="AI36" s="7">
        <f t="shared" si="8"/>
        <v>0</v>
      </c>
    </row>
    <row r="37" spans="1:35" s="3" customFormat="1" ht="26.25" customHeight="1">
      <c r="A37" s="61" t="s">
        <v>68</v>
      </c>
      <c r="B37" s="12" t="s">
        <v>66</v>
      </c>
      <c r="C37" s="7">
        <f>D37+'10月'!C37</f>
        <v>104818.06000000001</v>
      </c>
      <c r="D37" s="7">
        <f>SUM(E37:AI37)</f>
        <v>9196.0800000000036</v>
      </c>
      <c r="E37" s="7">
        <v>326.56</v>
      </c>
      <c r="F37" s="7">
        <v>280.94</v>
      </c>
      <c r="G37" s="7">
        <v>323.83999999999997</v>
      </c>
      <c r="H37" s="7">
        <v>202.12</v>
      </c>
      <c r="I37" s="7">
        <v>307.44</v>
      </c>
      <c r="J37" s="7">
        <v>307.54000000000002</v>
      </c>
      <c r="K37" s="7">
        <v>252.46</v>
      </c>
      <c r="L37" s="7">
        <v>301.56</v>
      </c>
      <c r="M37" s="7">
        <v>217.6</v>
      </c>
      <c r="N37" s="7">
        <v>203.74</v>
      </c>
      <c r="O37" s="7">
        <v>358.72</v>
      </c>
      <c r="P37" s="7">
        <v>56.4</v>
      </c>
      <c r="Q37" s="7">
        <v>304.68</v>
      </c>
      <c r="R37" s="7">
        <v>303.62</v>
      </c>
      <c r="S37" s="7">
        <v>256.02</v>
      </c>
      <c r="T37" s="7">
        <v>335.24</v>
      </c>
      <c r="U37" s="7">
        <v>384.68</v>
      </c>
      <c r="V37" s="7">
        <v>158.68</v>
      </c>
      <c r="W37" s="7">
        <v>329.92</v>
      </c>
      <c r="X37" s="7">
        <v>297.10000000000002</v>
      </c>
      <c r="Y37" s="7">
        <v>372.56</v>
      </c>
      <c r="Z37" s="7">
        <v>467.02</v>
      </c>
      <c r="AA37" s="7">
        <v>383.36</v>
      </c>
      <c r="AB37" s="7">
        <v>395.22</v>
      </c>
      <c r="AC37" s="7">
        <v>485.22</v>
      </c>
      <c r="AD37" s="7">
        <v>353.44</v>
      </c>
      <c r="AE37" s="7">
        <v>270.62</v>
      </c>
      <c r="AF37" s="7">
        <v>383.46</v>
      </c>
      <c r="AG37" s="7">
        <v>331.12</v>
      </c>
      <c r="AH37" s="7">
        <v>245.2</v>
      </c>
      <c r="AI37" s="7"/>
    </row>
    <row r="38" spans="1:35" s="3" customFormat="1" ht="26.1" customHeight="1">
      <c r="A38" s="53"/>
      <c r="B38" s="12" t="s">
        <v>67</v>
      </c>
      <c r="C38" s="7">
        <f>D38+'10月'!C38</f>
        <v>9745.260000000002</v>
      </c>
      <c r="D38" s="7">
        <f t="shared" ref="D38:D42" si="9">SUM(E38:AI38)</f>
        <v>780.2</v>
      </c>
      <c r="E38" s="7">
        <v>19.239999999999998</v>
      </c>
      <c r="F38" s="7">
        <v>50.54</v>
      </c>
      <c r="G38" s="7">
        <v>10.24</v>
      </c>
      <c r="H38" s="7">
        <v>20.68</v>
      </c>
      <c r="I38" s="7">
        <v>19.12</v>
      </c>
      <c r="J38" s="7">
        <v>26.86</v>
      </c>
      <c r="K38" s="7">
        <v>20.94</v>
      </c>
      <c r="L38" s="7">
        <v>0</v>
      </c>
      <c r="M38" s="7">
        <v>47.06</v>
      </c>
      <c r="N38" s="7">
        <v>31.62</v>
      </c>
      <c r="O38" s="7">
        <v>40.04</v>
      </c>
      <c r="P38" s="7">
        <v>0</v>
      </c>
      <c r="Q38" s="7">
        <v>20.92</v>
      </c>
      <c r="R38" s="7">
        <v>20.22</v>
      </c>
      <c r="S38" s="7">
        <v>39.76</v>
      </c>
      <c r="T38" s="7">
        <v>0</v>
      </c>
      <c r="U38" s="7">
        <v>21.46</v>
      </c>
      <c r="V38" s="7">
        <v>32.6</v>
      </c>
      <c r="W38" s="7">
        <v>22.08</v>
      </c>
      <c r="X38" s="7">
        <v>26.62</v>
      </c>
      <c r="Y38" s="7">
        <v>42.44</v>
      </c>
      <c r="Z38" s="7">
        <v>12.92</v>
      </c>
      <c r="AA38" s="7">
        <v>8.14</v>
      </c>
      <c r="AB38" s="7">
        <v>38.020000000000003</v>
      </c>
      <c r="AC38" s="7">
        <v>18.12</v>
      </c>
      <c r="AD38" s="7">
        <v>73.58</v>
      </c>
      <c r="AE38" s="7">
        <v>32</v>
      </c>
      <c r="AF38" s="7">
        <v>41.88</v>
      </c>
      <c r="AG38" s="7">
        <v>16.079999999999998</v>
      </c>
      <c r="AH38" s="7">
        <v>27.02</v>
      </c>
      <c r="AI38" s="7"/>
    </row>
    <row r="39" spans="1:35" s="3" customFormat="1" ht="24.95" customHeight="1">
      <c r="A39" s="54"/>
      <c r="B39" s="6" t="s">
        <v>69</v>
      </c>
      <c r="C39" s="7">
        <f>D39+'10月'!C39</f>
        <v>45841</v>
      </c>
      <c r="D39" s="7">
        <f t="shared" si="9"/>
        <v>1454</v>
      </c>
      <c r="E39" s="7">
        <v>94</v>
      </c>
      <c r="F39" s="7">
        <v>61</v>
      </c>
      <c r="G39" s="7">
        <v>100</v>
      </c>
      <c r="H39" s="7">
        <v>31</v>
      </c>
      <c r="I39" s="7">
        <v>37</v>
      </c>
      <c r="J39" s="7">
        <v>64</v>
      </c>
      <c r="K39" s="7">
        <v>63</v>
      </c>
      <c r="L39" s="7">
        <v>92</v>
      </c>
      <c r="M39" s="7">
        <v>66</v>
      </c>
      <c r="N39" s="7">
        <v>62</v>
      </c>
      <c r="O39" s="7">
        <v>0</v>
      </c>
      <c r="P39" s="7">
        <v>50</v>
      </c>
      <c r="Q39" s="7">
        <v>90</v>
      </c>
      <c r="R39" s="7">
        <v>0</v>
      </c>
      <c r="S39" s="7">
        <v>0</v>
      </c>
      <c r="T39" s="7">
        <v>106</v>
      </c>
      <c r="U39" s="7">
        <v>0</v>
      </c>
      <c r="V39" s="7">
        <v>63</v>
      </c>
      <c r="W39" s="7">
        <v>32</v>
      </c>
      <c r="X39" s="7">
        <v>29</v>
      </c>
      <c r="Y39" s="7">
        <v>48</v>
      </c>
      <c r="Z39" s="7">
        <v>54</v>
      </c>
      <c r="AA39" s="7">
        <v>0</v>
      </c>
      <c r="AB39" s="7">
        <v>0</v>
      </c>
      <c r="AC39" s="7">
        <v>0</v>
      </c>
      <c r="AD39" s="7">
        <v>103</v>
      </c>
      <c r="AE39" s="7">
        <v>67</v>
      </c>
      <c r="AF39" s="7">
        <v>0</v>
      </c>
      <c r="AG39" s="7">
        <v>86</v>
      </c>
      <c r="AH39" s="7">
        <v>56</v>
      </c>
      <c r="AI39" s="7"/>
    </row>
    <row r="40" spans="1:35" s="3" customFormat="1" ht="24.95" customHeight="1">
      <c r="A40" s="60" t="s">
        <v>70</v>
      </c>
      <c r="B40" s="6" t="s">
        <v>71</v>
      </c>
      <c r="C40" s="7">
        <f>D40+'10月'!C40</f>
        <v>651.08900000000006</v>
      </c>
      <c r="D40" s="7">
        <f t="shared" si="9"/>
        <v>38.290000000000006</v>
      </c>
      <c r="E40" s="30">
        <v>1.42</v>
      </c>
      <c r="F40" s="30">
        <v>1.32</v>
      </c>
      <c r="G40" s="30">
        <v>1.43</v>
      </c>
      <c r="H40" s="30">
        <v>1.48</v>
      </c>
      <c r="I40" s="30">
        <v>1.22</v>
      </c>
      <c r="J40" s="30">
        <v>1.21</v>
      </c>
      <c r="K40" s="30">
        <v>1.4</v>
      </c>
      <c r="L40" s="30">
        <v>1.5</v>
      </c>
      <c r="M40" s="30">
        <v>1.5</v>
      </c>
      <c r="N40" s="30">
        <v>1.4</v>
      </c>
      <c r="O40" s="31">
        <v>1.47</v>
      </c>
      <c r="P40" s="31">
        <v>1.38</v>
      </c>
      <c r="Q40" s="31">
        <v>1.1599999999999999</v>
      </c>
      <c r="R40" s="31">
        <v>1.19</v>
      </c>
      <c r="S40" s="31">
        <v>1.39</v>
      </c>
      <c r="T40" s="31">
        <v>0.87</v>
      </c>
      <c r="U40" s="31">
        <v>1.0900000000000001</v>
      </c>
      <c r="V40" s="31">
        <v>1.21</v>
      </c>
      <c r="W40" s="31">
        <v>1.04</v>
      </c>
      <c r="X40" s="31">
        <v>1.1299999999999999</v>
      </c>
      <c r="Y40" s="30">
        <v>1.38</v>
      </c>
      <c r="Z40" s="30">
        <v>1.25</v>
      </c>
      <c r="AA40" s="30">
        <v>1.18</v>
      </c>
      <c r="AB40" s="30">
        <v>1.1399999999999999</v>
      </c>
      <c r="AC40" s="30">
        <v>1.37</v>
      </c>
      <c r="AD40" s="30">
        <v>1.07</v>
      </c>
      <c r="AE40" s="30">
        <v>1.27</v>
      </c>
      <c r="AF40" s="30">
        <v>1.26</v>
      </c>
      <c r="AG40" s="30">
        <v>1.35</v>
      </c>
      <c r="AH40" s="30">
        <v>1.21</v>
      </c>
      <c r="AI40" s="7"/>
    </row>
    <row r="41" spans="1:35" s="3" customFormat="1" ht="24.95" customHeight="1">
      <c r="A41" s="60"/>
      <c r="B41" s="6" t="s">
        <v>72</v>
      </c>
      <c r="C41" s="7">
        <f>D41+'10月'!C41</f>
        <v>3258.8300000000008</v>
      </c>
      <c r="D41" s="7">
        <f t="shared" si="9"/>
        <v>379.60000000000008</v>
      </c>
      <c r="E41" s="31">
        <v>11.33</v>
      </c>
      <c r="F41" s="31">
        <v>11.52</v>
      </c>
      <c r="G41" s="31">
        <v>12.38</v>
      </c>
      <c r="H41" s="31">
        <v>11.47</v>
      </c>
      <c r="I41" s="31">
        <v>11.24</v>
      </c>
      <c r="J41" s="31">
        <v>11.04</v>
      </c>
      <c r="K41" s="31">
        <v>9.9</v>
      </c>
      <c r="L41" s="31">
        <v>11.29</v>
      </c>
      <c r="M41" s="31">
        <v>11.03</v>
      </c>
      <c r="N41" s="31">
        <v>11.6</v>
      </c>
      <c r="O41" s="30">
        <v>11.17</v>
      </c>
      <c r="P41" s="30">
        <v>12.09</v>
      </c>
      <c r="Q41" s="30">
        <v>12.82</v>
      </c>
      <c r="R41" s="30">
        <v>12.8</v>
      </c>
      <c r="S41" s="30">
        <v>14.27</v>
      </c>
      <c r="T41" s="30">
        <v>14.99</v>
      </c>
      <c r="U41" s="30">
        <v>14.64</v>
      </c>
      <c r="V41" s="30">
        <v>13.49</v>
      </c>
      <c r="W41" s="30">
        <v>13.33</v>
      </c>
      <c r="X41" s="30">
        <v>14.27</v>
      </c>
      <c r="Y41" s="30">
        <v>12.54</v>
      </c>
      <c r="Z41" s="30">
        <v>14.18</v>
      </c>
      <c r="AA41" s="30">
        <v>14.06</v>
      </c>
      <c r="AB41" s="30">
        <v>13.19</v>
      </c>
      <c r="AC41" s="30">
        <v>13.08</v>
      </c>
      <c r="AD41" s="30">
        <v>13.27</v>
      </c>
      <c r="AE41" s="30">
        <v>12.51</v>
      </c>
      <c r="AF41" s="30">
        <v>12.47</v>
      </c>
      <c r="AG41" s="30">
        <v>12.93</v>
      </c>
      <c r="AH41" s="30">
        <v>14.7</v>
      </c>
      <c r="AI41" s="7"/>
    </row>
    <row r="42" spans="1:35" s="3" customFormat="1" ht="24.95" customHeight="1">
      <c r="A42" s="60"/>
      <c r="B42" s="6" t="s">
        <v>73</v>
      </c>
      <c r="C42" s="7">
        <f>D42+'10月'!C42</f>
        <v>209.55</v>
      </c>
      <c r="D42" s="7">
        <f t="shared" si="9"/>
        <v>21.859999999999996</v>
      </c>
      <c r="E42" s="31">
        <v>0.7</v>
      </c>
      <c r="F42" s="31">
        <v>0.7</v>
      </c>
      <c r="G42" s="31">
        <v>0.7</v>
      </c>
      <c r="H42" s="31">
        <v>0.7</v>
      </c>
      <c r="I42" s="31">
        <v>0.71</v>
      </c>
      <c r="J42" s="31">
        <v>0.73</v>
      </c>
      <c r="K42" s="31">
        <v>0.75</v>
      </c>
      <c r="L42" s="31">
        <v>0.73</v>
      </c>
      <c r="M42" s="31">
        <v>0.75</v>
      </c>
      <c r="N42" s="31">
        <v>0.74</v>
      </c>
      <c r="O42" s="30">
        <v>0.71</v>
      </c>
      <c r="P42" s="30">
        <v>0.75</v>
      </c>
      <c r="Q42" s="30">
        <v>0.69</v>
      </c>
      <c r="R42" s="30">
        <v>0.69</v>
      </c>
      <c r="S42" s="30">
        <v>0.78</v>
      </c>
      <c r="T42" s="30">
        <v>0.7</v>
      </c>
      <c r="U42" s="30">
        <v>0.7</v>
      </c>
      <c r="V42" s="30">
        <v>0.74</v>
      </c>
      <c r="W42" s="30">
        <v>0.7</v>
      </c>
      <c r="X42" s="30">
        <v>0.76</v>
      </c>
      <c r="Y42" s="30">
        <v>0.72</v>
      </c>
      <c r="Z42" s="30">
        <v>0.76</v>
      </c>
      <c r="AA42" s="30">
        <v>0.81</v>
      </c>
      <c r="AB42" s="30">
        <v>0.79</v>
      </c>
      <c r="AC42" s="30">
        <v>0.7</v>
      </c>
      <c r="AD42" s="30">
        <v>0.7</v>
      </c>
      <c r="AE42" s="30">
        <v>0.72</v>
      </c>
      <c r="AF42" s="30">
        <v>0.76</v>
      </c>
      <c r="AG42" s="30">
        <v>0.7</v>
      </c>
      <c r="AH42" s="30">
        <v>0.77</v>
      </c>
      <c r="AI42" s="7"/>
    </row>
    <row r="43" spans="1:35" s="1" customFormat="1" ht="18" customHeight="1">
      <c r="B43" s="20" t="s">
        <v>74</v>
      </c>
      <c r="C43" s="21">
        <f>C37/C5</f>
        <v>0.24544841881646812</v>
      </c>
      <c r="D43" s="21">
        <f>D37/D5</f>
        <v>0.2187834262766222</v>
      </c>
      <c r="G43" s="22"/>
    </row>
    <row r="44" spans="1:35" s="1" customFormat="1" ht="18" customHeight="1">
      <c r="B44" s="23" t="s">
        <v>75</v>
      </c>
      <c r="C44" s="24">
        <f>C38/C5</f>
        <v>2.2820100447913026E-2</v>
      </c>
      <c r="D44" s="24">
        <f>D38/D5</f>
        <v>1.8561694676538329E-2</v>
      </c>
      <c r="G44" s="22"/>
    </row>
    <row r="45" spans="1:35" s="1" customFormat="1" ht="18" customHeight="1">
      <c r="B45" s="23" t="s">
        <v>76</v>
      </c>
      <c r="C45" s="24">
        <f>C39/C5</f>
        <v>0.10734410622526036</v>
      </c>
      <c r="D45" s="24">
        <f>D39/D5</f>
        <v>3.4592032888601291E-2</v>
      </c>
      <c r="G45" s="22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</sheetData>
  <mergeCells count="10">
    <mergeCell ref="A16:A18"/>
    <mergeCell ref="A40:A42"/>
    <mergeCell ref="A1:B1"/>
    <mergeCell ref="C1:AI1"/>
    <mergeCell ref="A3:A5"/>
    <mergeCell ref="A6:A8"/>
    <mergeCell ref="A9:A12"/>
    <mergeCell ref="A13:A15"/>
    <mergeCell ref="A20:A36"/>
    <mergeCell ref="A37:A39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I68"/>
  <sheetViews>
    <sheetView tabSelected="1" workbookViewId="0">
      <pane xSplit="4" topLeftCell="E1" activePane="topRight" state="frozen"/>
      <selection pane="topRight" activeCell="F49" sqref="F49"/>
    </sheetView>
  </sheetViews>
  <sheetFormatPr defaultColWidth="9" defaultRowHeight="13.5"/>
  <cols>
    <col min="1" max="1" width="10.5" style="4" customWidth="1"/>
    <col min="2" max="2" width="14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11.25" style="4" customWidth="1"/>
    <col min="35" max="35" width="9" style="4" customWidth="1"/>
    <col min="36" max="16384" width="9" style="4"/>
  </cols>
  <sheetData>
    <row r="1" spans="1:35" s="1" customFormat="1" ht="42.75" customHeight="1">
      <c r="A1" s="57">
        <v>44531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D3+'11月'!C3</f>
        <v>231568.1</v>
      </c>
      <c r="D3" s="7">
        <f t="shared" ref="D3:D9" si="0">SUM(E3:AI3)</f>
        <v>22625.5</v>
      </c>
      <c r="E3" s="7">
        <v>750.4</v>
      </c>
      <c r="F3" s="7">
        <v>714.4</v>
      </c>
      <c r="G3" s="7">
        <v>717.2</v>
      </c>
      <c r="H3" s="7">
        <v>732.4</v>
      </c>
      <c r="I3" s="7">
        <v>716.9</v>
      </c>
      <c r="J3" s="7">
        <v>747</v>
      </c>
      <c r="K3" s="7">
        <v>746.9</v>
      </c>
      <c r="L3" s="7">
        <v>690.3</v>
      </c>
      <c r="M3" s="7">
        <v>737.8</v>
      </c>
      <c r="N3" s="7">
        <v>717.6</v>
      </c>
      <c r="O3" s="7">
        <v>799.8</v>
      </c>
      <c r="P3" s="7">
        <v>795.5</v>
      </c>
      <c r="Q3" s="7">
        <v>759</v>
      </c>
      <c r="R3" s="7">
        <v>703.5</v>
      </c>
      <c r="S3" s="7">
        <v>700.9</v>
      </c>
      <c r="T3" s="7">
        <v>764.4</v>
      </c>
      <c r="U3" s="7">
        <v>746.6</v>
      </c>
      <c r="V3" s="7">
        <v>768.9</v>
      </c>
      <c r="W3" s="7">
        <v>758.4</v>
      </c>
      <c r="X3" s="7">
        <v>732.6</v>
      </c>
      <c r="Y3" s="7">
        <v>712.5</v>
      </c>
      <c r="Z3" s="7">
        <v>725.2</v>
      </c>
      <c r="AA3" s="7">
        <v>728.9</v>
      </c>
      <c r="AB3" s="7">
        <v>700.8</v>
      </c>
      <c r="AC3" s="7">
        <v>690.2</v>
      </c>
      <c r="AD3" s="7">
        <v>662.5</v>
      </c>
      <c r="AE3" s="7">
        <v>728.3</v>
      </c>
      <c r="AF3" s="7">
        <v>749</v>
      </c>
      <c r="AG3" s="7">
        <v>749.3</v>
      </c>
      <c r="AH3" s="7">
        <v>702.2</v>
      </c>
      <c r="AI3" s="29">
        <v>676.1</v>
      </c>
    </row>
    <row r="4" spans="1:35" s="3" customFormat="1" ht="26.25" customHeight="1">
      <c r="A4" s="51"/>
      <c r="B4" s="7" t="s">
        <v>37</v>
      </c>
      <c r="C4" s="7">
        <f>D4+'11月'!C4</f>
        <v>241317.59999999995</v>
      </c>
      <c r="D4" s="7">
        <f t="shared" si="0"/>
        <v>23213.000000000004</v>
      </c>
      <c r="E4" s="7">
        <v>732.5</v>
      </c>
      <c r="F4" s="7">
        <v>734</v>
      </c>
      <c r="G4" s="7">
        <v>749.6</v>
      </c>
      <c r="H4" s="7">
        <v>749.5</v>
      </c>
      <c r="I4" s="7">
        <v>704.1</v>
      </c>
      <c r="J4" s="7">
        <v>770.9</v>
      </c>
      <c r="K4" s="7">
        <v>726.4</v>
      </c>
      <c r="L4" s="7">
        <v>707.6</v>
      </c>
      <c r="M4" s="7">
        <v>738.2</v>
      </c>
      <c r="N4" s="7">
        <v>733.9</v>
      </c>
      <c r="O4" s="7">
        <v>792.4</v>
      </c>
      <c r="P4" s="7">
        <v>799.1</v>
      </c>
      <c r="Q4" s="7">
        <v>787</v>
      </c>
      <c r="R4" s="7">
        <v>713.7</v>
      </c>
      <c r="S4" s="7">
        <v>731.3</v>
      </c>
      <c r="T4" s="7">
        <v>758.4</v>
      </c>
      <c r="U4" s="7">
        <v>759.4</v>
      </c>
      <c r="V4" s="7">
        <v>767.6</v>
      </c>
      <c r="W4" s="7">
        <v>775.1</v>
      </c>
      <c r="X4" s="7">
        <v>742.9</v>
      </c>
      <c r="Y4" s="7">
        <v>729.5</v>
      </c>
      <c r="Z4" s="7">
        <v>759.8</v>
      </c>
      <c r="AA4" s="7">
        <v>775.9</v>
      </c>
      <c r="AB4" s="7">
        <v>767.6</v>
      </c>
      <c r="AC4" s="7">
        <v>725.9</v>
      </c>
      <c r="AD4" s="7">
        <v>706.9</v>
      </c>
      <c r="AE4" s="7">
        <v>751.9</v>
      </c>
      <c r="AF4" s="7">
        <v>781.4</v>
      </c>
      <c r="AG4" s="29">
        <v>759.4</v>
      </c>
      <c r="AH4" s="7">
        <v>760</v>
      </c>
      <c r="AI4" s="7">
        <v>721.1</v>
      </c>
    </row>
    <row r="5" spans="1:35" s="3" customFormat="1" ht="24.95" customHeight="1">
      <c r="A5" s="51"/>
      <c r="B5" s="7" t="s">
        <v>38</v>
      </c>
      <c r="C5" s="7">
        <f>D5+'11月'!C5</f>
        <v>472885.69999999995</v>
      </c>
      <c r="D5" s="7">
        <f t="shared" si="0"/>
        <v>45838.499999999993</v>
      </c>
      <c r="E5" s="7">
        <f t="shared" ref="E5:AI5" si="1">E3+E4</f>
        <v>1482.9</v>
      </c>
      <c r="F5" s="7">
        <f t="shared" si="1"/>
        <v>1448.4</v>
      </c>
      <c r="G5" s="7">
        <f t="shared" si="1"/>
        <v>1466.8000000000002</v>
      </c>
      <c r="H5" s="7">
        <f t="shared" si="1"/>
        <v>1481.9</v>
      </c>
      <c r="I5" s="7">
        <f t="shared" si="1"/>
        <v>1421</v>
      </c>
      <c r="J5" s="7">
        <f t="shared" si="1"/>
        <v>1517.9</v>
      </c>
      <c r="K5" s="7">
        <f t="shared" si="1"/>
        <v>1473.3</v>
      </c>
      <c r="L5" s="7">
        <f t="shared" si="1"/>
        <v>1397.9</v>
      </c>
      <c r="M5" s="7">
        <f t="shared" si="1"/>
        <v>1476</v>
      </c>
      <c r="N5" s="7">
        <f t="shared" si="1"/>
        <v>1451.5</v>
      </c>
      <c r="O5" s="7">
        <f t="shared" si="1"/>
        <v>1592.1999999999998</v>
      </c>
      <c r="P5" s="7">
        <f t="shared" si="1"/>
        <v>1594.6</v>
      </c>
      <c r="Q5" s="7">
        <f t="shared" si="1"/>
        <v>1546</v>
      </c>
      <c r="R5" s="7">
        <f t="shared" si="1"/>
        <v>1417.2</v>
      </c>
      <c r="S5" s="7">
        <f t="shared" si="1"/>
        <v>1432.1999999999998</v>
      </c>
      <c r="T5" s="7">
        <f t="shared" si="1"/>
        <v>1522.8</v>
      </c>
      <c r="U5" s="7">
        <f t="shared" si="1"/>
        <v>1506</v>
      </c>
      <c r="V5" s="7">
        <f t="shared" si="1"/>
        <v>1536.5</v>
      </c>
      <c r="W5" s="7">
        <f t="shared" si="1"/>
        <v>1533.5</v>
      </c>
      <c r="X5" s="7">
        <f t="shared" si="1"/>
        <v>1475.5</v>
      </c>
      <c r="Y5" s="7">
        <f t="shared" si="1"/>
        <v>1442</v>
      </c>
      <c r="Z5" s="7">
        <f t="shared" si="1"/>
        <v>1485</v>
      </c>
      <c r="AA5" s="7">
        <f t="shared" si="1"/>
        <v>1504.8</v>
      </c>
      <c r="AB5" s="7">
        <f t="shared" si="1"/>
        <v>1468.4</v>
      </c>
      <c r="AC5" s="7">
        <f t="shared" si="1"/>
        <v>1416.1</v>
      </c>
      <c r="AD5" s="7">
        <f t="shared" si="1"/>
        <v>1369.4</v>
      </c>
      <c r="AE5" s="7">
        <f t="shared" si="1"/>
        <v>1480.1999999999998</v>
      </c>
      <c r="AF5" s="7">
        <f t="shared" si="1"/>
        <v>1530.4</v>
      </c>
      <c r="AG5" s="7">
        <f t="shared" si="1"/>
        <v>1508.6999999999998</v>
      </c>
      <c r="AH5" s="7">
        <f t="shared" si="1"/>
        <v>1462.2</v>
      </c>
      <c r="AI5" s="7">
        <f t="shared" si="1"/>
        <v>1397.2</v>
      </c>
    </row>
    <row r="6" spans="1:35" s="3" customFormat="1" ht="24.95" customHeight="1">
      <c r="A6" s="51" t="s">
        <v>39</v>
      </c>
      <c r="B6" s="7" t="s">
        <v>40</v>
      </c>
      <c r="C6" s="7">
        <f>D6+'11月'!C6</f>
        <v>116018000</v>
      </c>
      <c r="D6" s="7">
        <f t="shared" si="0"/>
        <v>10992000</v>
      </c>
      <c r="E6" s="7">
        <v>366000</v>
      </c>
      <c r="F6" s="7">
        <v>358000</v>
      </c>
      <c r="G6" s="7">
        <v>358000</v>
      </c>
      <c r="H6" s="7">
        <v>362000</v>
      </c>
      <c r="I6" s="7">
        <v>368000</v>
      </c>
      <c r="J6" s="7">
        <v>358000</v>
      </c>
      <c r="K6" s="7">
        <v>364000</v>
      </c>
      <c r="L6" s="7">
        <v>362000</v>
      </c>
      <c r="M6" s="7">
        <v>364000</v>
      </c>
      <c r="N6" s="7">
        <v>372000</v>
      </c>
      <c r="O6" s="7">
        <v>366000</v>
      </c>
      <c r="P6" s="26">
        <v>366000</v>
      </c>
      <c r="Q6" s="7">
        <v>370000</v>
      </c>
      <c r="R6" s="7">
        <v>364000</v>
      </c>
      <c r="S6" s="7">
        <v>354000</v>
      </c>
      <c r="T6" s="7">
        <v>334000</v>
      </c>
      <c r="U6" s="26">
        <v>318000</v>
      </c>
      <c r="V6" s="26">
        <v>328000</v>
      </c>
      <c r="W6" s="7">
        <v>336000</v>
      </c>
      <c r="X6" s="7">
        <v>338000</v>
      </c>
      <c r="Y6" s="7">
        <v>344000</v>
      </c>
      <c r="Z6" s="7">
        <v>352000</v>
      </c>
      <c r="AA6" s="7">
        <v>352000</v>
      </c>
      <c r="AB6" s="7">
        <v>350000</v>
      </c>
      <c r="AC6" s="7">
        <v>356000</v>
      </c>
      <c r="AD6" s="7">
        <v>364000</v>
      </c>
      <c r="AE6" s="7">
        <v>354000</v>
      </c>
      <c r="AF6" s="7">
        <v>354000</v>
      </c>
      <c r="AG6" s="7">
        <v>360000</v>
      </c>
      <c r="AH6" s="7">
        <v>354000</v>
      </c>
      <c r="AI6" s="7">
        <v>346000</v>
      </c>
    </row>
    <row r="7" spans="1:35" s="3" customFormat="1" ht="24.95" customHeight="1">
      <c r="A7" s="51"/>
      <c r="B7" s="7" t="s">
        <v>41</v>
      </c>
      <c r="C7" s="7">
        <f>D7+'11月'!C7</f>
        <v>121318000</v>
      </c>
      <c r="D7" s="7">
        <f t="shared" si="0"/>
        <v>11226000</v>
      </c>
      <c r="E7" s="7">
        <v>376000</v>
      </c>
      <c r="F7" s="7">
        <v>374000</v>
      </c>
      <c r="G7" s="7">
        <v>376000</v>
      </c>
      <c r="H7" s="7">
        <v>374000</v>
      </c>
      <c r="I7" s="7">
        <v>372000</v>
      </c>
      <c r="J7" s="7">
        <v>364000</v>
      </c>
      <c r="K7" s="7">
        <v>374000</v>
      </c>
      <c r="L7" s="7">
        <v>374000</v>
      </c>
      <c r="M7" s="7">
        <v>370000</v>
      </c>
      <c r="N7" s="7">
        <v>374000</v>
      </c>
      <c r="O7" s="7">
        <v>370000</v>
      </c>
      <c r="P7" s="26">
        <v>370000</v>
      </c>
      <c r="Q7" s="7">
        <v>370000</v>
      </c>
      <c r="R7" s="7">
        <v>372000</v>
      </c>
      <c r="S7" s="7">
        <v>356000</v>
      </c>
      <c r="T7" s="7">
        <v>342000</v>
      </c>
      <c r="U7" s="7">
        <v>338000</v>
      </c>
      <c r="V7" s="7">
        <v>352000</v>
      </c>
      <c r="W7" s="7">
        <v>350000</v>
      </c>
      <c r="X7" s="7">
        <v>352000</v>
      </c>
      <c r="Y7" s="7">
        <v>354000</v>
      </c>
      <c r="Z7" s="7">
        <v>358000</v>
      </c>
      <c r="AA7" s="7">
        <v>362000</v>
      </c>
      <c r="AB7" s="7">
        <v>354000</v>
      </c>
      <c r="AC7" s="7">
        <v>360000</v>
      </c>
      <c r="AD7" s="7">
        <v>368000</v>
      </c>
      <c r="AE7" s="7">
        <v>358000</v>
      </c>
      <c r="AF7" s="7">
        <v>358000</v>
      </c>
      <c r="AG7" s="7">
        <v>352000</v>
      </c>
      <c r="AH7" s="7">
        <v>352000</v>
      </c>
      <c r="AI7" s="26">
        <v>350000</v>
      </c>
    </row>
    <row r="8" spans="1:35" s="3" customFormat="1" ht="24.95" customHeight="1">
      <c r="A8" s="51"/>
      <c r="B8" s="7" t="s">
        <v>38</v>
      </c>
      <c r="C8" s="7">
        <f>D8+'11月'!C8</f>
        <v>237336000</v>
      </c>
      <c r="D8" s="7">
        <f t="shared" si="0"/>
        <v>22218000</v>
      </c>
      <c r="E8" s="7">
        <f t="shared" ref="E8:AI8" si="2">E6+E7</f>
        <v>742000</v>
      </c>
      <c r="F8" s="7">
        <f t="shared" si="2"/>
        <v>732000</v>
      </c>
      <c r="G8" s="7">
        <f t="shared" si="2"/>
        <v>734000</v>
      </c>
      <c r="H8" s="7">
        <f t="shared" si="2"/>
        <v>736000</v>
      </c>
      <c r="I8" s="7">
        <f t="shared" si="2"/>
        <v>740000</v>
      </c>
      <c r="J8" s="7">
        <f t="shared" si="2"/>
        <v>722000</v>
      </c>
      <c r="K8" s="7">
        <f t="shared" si="2"/>
        <v>738000</v>
      </c>
      <c r="L8" s="7">
        <f t="shared" si="2"/>
        <v>736000</v>
      </c>
      <c r="M8" s="7">
        <f t="shared" si="2"/>
        <v>734000</v>
      </c>
      <c r="N8" s="7">
        <f t="shared" si="2"/>
        <v>746000</v>
      </c>
      <c r="O8" s="7">
        <f t="shared" si="2"/>
        <v>736000</v>
      </c>
      <c r="P8" s="7">
        <f t="shared" si="2"/>
        <v>736000</v>
      </c>
      <c r="Q8" s="7">
        <f t="shared" si="2"/>
        <v>740000</v>
      </c>
      <c r="R8" s="7">
        <f t="shared" si="2"/>
        <v>736000</v>
      </c>
      <c r="S8" s="7">
        <f t="shared" si="2"/>
        <v>710000</v>
      </c>
      <c r="T8" s="7">
        <f t="shared" si="2"/>
        <v>676000</v>
      </c>
      <c r="U8" s="7">
        <f t="shared" si="2"/>
        <v>656000</v>
      </c>
      <c r="V8" s="7">
        <f t="shared" si="2"/>
        <v>680000</v>
      </c>
      <c r="W8" s="7">
        <f t="shared" si="2"/>
        <v>686000</v>
      </c>
      <c r="X8" s="7">
        <f t="shared" si="2"/>
        <v>690000</v>
      </c>
      <c r="Y8" s="7">
        <f t="shared" si="2"/>
        <v>698000</v>
      </c>
      <c r="Z8" s="7">
        <f t="shared" si="2"/>
        <v>710000</v>
      </c>
      <c r="AA8" s="7">
        <f t="shared" si="2"/>
        <v>714000</v>
      </c>
      <c r="AB8" s="7">
        <f t="shared" si="2"/>
        <v>704000</v>
      </c>
      <c r="AC8" s="7">
        <f t="shared" si="2"/>
        <v>716000</v>
      </c>
      <c r="AD8" s="7">
        <f t="shared" si="2"/>
        <v>732000</v>
      </c>
      <c r="AE8" s="7">
        <f t="shared" si="2"/>
        <v>712000</v>
      </c>
      <c r="AF8" s="7">
        <f t="shared" si="2"/>
        <v>712000</v>
      </c>
      <c r="AG8" s="7">
        <f t="shared" si="2"/>
        <v>712000</v>
      </c>
      <c r="AH8" s="7">
        <f t="shared" si="2"/>
        <v>706000</v>
      </c>
      <c r="AI8" s="7">
        <f t="shared" si="2"/>
        <v>696000</v>
      </c>
    </row>
    <row r="9" spans="1:35" s="3" customFormat="1" ht="24.95" customHeight="1">
      <c r="A9" s="51" t="s">
        <v>42</v>
      </c>
      <c r="B9" s="7" t="s">
        <v>38</v>
      </c>
      <c r="C9" s="7">
        <f>D9+'11月'!C9</f>
        <v>204918000</v>
      </c>
      <c r="D9" s="7">
        <f t="shared" si="0"/>
        <v>19588000</v>
      </c>
      <c r="E9" s="7">
        <v>656000</v>
      </c>
      <c r="F9" s="7">
        <v>650000</v>
      </c>
      <c r="G9" s="7">
        <v>650000</v>
      </c>
      <c r="H9" s="7">
        <v>650000</v>
      </c>
      <c r="I9" s="7">
        <v>656000</v>
      </c>
      <c r="J9" s="7">
        <v>640000</v>
      </c>
      <c r="K9" s="7">
        <v>654000</v>
      </c>
      <c r="L9" s="7">
        <v>650000</v>
      </c>
      <c r="M9" s="7">
        <v>646000</v>
      </c>
      <c r="N9" s="7">
        <v>660000</v>
      </c>
      <c r="O9" s="7">
        <v>646000</v>
      </c>
      <c r="P9" s="7">
        <v>650000</v>
      </c>
      <c r="Q9" s="7">
        <v>656000</v>
      </c>
      <c r="R9" s="7">
        <v>646000</v>
      </c>
      <c r="S9" s="7">
        <v>624000</v>
      </c>
      <c r="T9" s="7">
        <v>592000</v>
      </c>
      <c r="U9" s="7">
        <v>574000</v>
      </c>
      <c r="V9" s="7">
        <v>598000</v>
      </c>
      <c r="W9" s="7">
        <v>604000</v>
      </c>
      <c r="X9" s="7">
        <v>608000</v>
      </c>
      <c r="Y9" s="7">
        <v>616000</v>
      </c>
      <c r="Z9" s="7">
        <v>622000</v>
      </c>
      <c r="AA9" s="7">
        <v>628000</v>
      </c>
      <c r="AB9" s="7">
        <v>616000</v>
      </c>
      <c r="AC9" s="7">
        <v>630000</v>
      </c>
      <c r="AD9" s="7">
        <v>648000</v>
      </c>
      <c r="AE9" s="7">
        <v>628000</v>
      </c>
      <c r="AF9" s="7">
        <v>626000</v>
      </c>
      <c r="AG9" s="7">
        <v>626000</v>
      </c>
      <c r="AH9" s="7">
        <v>622000</v>
      </c>
      <c r="AI9" s="7">
        <v>616000</v>
      </c>
    </row>
    <row r="10" spans="1:35" s="3" customFormat="1" ht="24.95" customHeight="1">
      <c r="A10" s="51"/>
      <c r="B10" s="6" t="s">
        <v>43</v>
      </c>
      <c r="C10" s="8">
        <f t="shared" ref="C10:AI10" si="3">C8/C5</f>
        <v>501.88872279284408</v>
      </c>
      <c r="D10" s="8">
        <f t="shared" si="3"/>
        <v>484.70172453287091</v>
      </c>
      <c r="E10" s="8">
        <f t="shared" si="3"/>
        <v>500.3708948681637</v>
      </c>
      <c r="F10" s="8">
        <f t="shared" si="3"/>
        <v>505.3852526926263</v>
      </c>
      <c r="G10" s="8">
        <f t="shared" si="3"/>
        <v>500.40905372238882</v>
      </c>
      <c r="H10" s="8">
        <f t="shared" si="3"/>
        <v>496.65969363654767</v>
      </c>
      <c r="I10" s="8">
        <f t="shared" si="3"/>
        <v>520.7600281491907</v>
      </c>
      <c r="J10" s="8">
        <f t="shared" si="3"/>
        <v>475.65715791554118</v>
      </c>
      <c r="K10" s="8">
        <f t="shared" si="3"/>
        <v>500.91631032376301</v>
      </c>
      <c r="L10" s="8">
        <f t="shared" si="3"/>
        <v>526.50404177695111</v>
      </c>
      <c r="M10" s="8">
        <f t="shared" si="3"/>
        <v>497.28997289972898</v>
      </c>
      <c r="N10" s="8">
        <f t="shared" si="3"/>
        <v>513.95108508439546</v>
      </c>
      <c r="O10" s="8">
        <f t="shared" si="3"/>
        <v>462.25348574299716</v>
      </c>
      <c r="P10" s="8">
        <f t="shared" si="3"/>
        <v>461.55775743133074</v>
      </c>
      <c r="Q10" s="8">
        <f t="shared" si="3"/>
        <v>478.65459249676587</v>
      </c>
      <c r="R10" s="8">
        <f t="shared" si="3"/>
        <v>519.33389782670054</v>
      </c>
      <c r="S10" s="8">
        <f t="shared" si="3"/>
        <v>495.74081832146356</v>
      </c>
      <c r="T10" s="8">
        <f t="shared" si="3"/>
        <v>443.91909640136589</v>
      </c>
      <c r="U10" s="8">
        <f t="shared" si="3"/>
        <v>435.5909694555113</v>
      </c>
      <c r="V10" s="8">
        <f t="shared" si="3"/>
        <v>442.56426944354052</v>
      </c>
      <c r="W10" s="8">
        <f t="shared" si="3"/>
        <v>447.34268014346264</v>
      </c>
      <c r="X10" s="8">
        <f t="shared" si="3"/>
        <v>467.63808878346322</v>
      </c>
      <c r="Y10" s="8">
        <f t="shared" si="3"/>
        <v>484.04993065187239</v>
      </c>
      <c r="Z10" s="8">
        <f t="shared" si="3"/>
        <v>478.11447811447812</v>
      </c>
      <c r="AA10" s="8">
        <f t="shared" si="3"/>
        <v>474.48165869218502</v>
      </c>
      <c r="AB10" s="8">
        <f t="shared" si="3"/>
        <v>479.43339689457912</v>
      </c>
      <c r="AC10" s="8">
        <f t="shared" si="3"/>
        <v>505.61401031000639</v>
      </c>
      <c r="AD10" s="8">
        <f t="shared" si="3"/>
        <v>534.54067474806482</v>
      </c>
      <c r="AE10" s="8">
        <f t="shared" si="3"/>
        <v>481.01607890825568</v>
      </c>
      <c r="AF10" s="8">
        <f t="shared" si="3"/>
        <v>465.23784631468897</v>
      </c>
      <c r="AG10" s="8">
        <f t="shared" si="3"/>
        <v>471.92947570756286</v>
      </c>
      <c r="AH10" s="8">
        <f t="shared" si="3"/>
        <v>482.83408562440155</v>
      </c>
      <c r="AI10" s="8">
        <f t="shared" si="3"/>
        <v>498.13913541368447</v>
      </c>
    </row>
    <row r="11" spans="1:35" s="3" customFormat="1" ht="24.95" customHeight="1">
      <c r="A11" s="51"/>
      <c r="B11" s="9" t="s">
        <v>44</v>
      </c>
      <c r="C11" s="8">
        <f>(C8-C16)/C5</f>
        <v>433.33092965171079</v>
      </c>
      <c r="D11" s="8">
        <f>(D8-D16)/D5</f>
        <v>427.32637411782679</v>
      </c>
      <c r="E11" s="8">
        <f>(E8-E16)/E5</f>
        <v>442.3764245734709</v>
      </c>
      <c r="F11" s="8">
        <f>(F8-F16)/F5</f>
        <v>448.77105771886215</v>
      </c>
      <c r="G11" s="8">
        <f>(G8-G16)/G5</f>
        <v>443.14153258794647</v>
      </c>
      <c r="H11" s="8">
        <f>(H8-H16)/H5</f>
        <v>438.6260881301032</v>
      </c>
      <c r="I11" s="8">
        <f>(I8-I16)/I5</f>
        <v>461.64672765657986</v>
      </c>
      <c r="J11" s="8">
        <f>(J8-J16)/J5</f>
        <v>421.63515383095063</v>
      </c>
      <c r="K11" s="8">
        <f>(K8-K16)/K5</f>
        <v>443.90144573406639</v>
      </c>
      <c r="L11" s="8">
        <f>(L8-L16)/L5</f>
        <v>464.98318906931826</v>
      </c>
      <c r="M11" s="8">
        <f>(M8-M16)/M5</f>
        <v>437.66937669376694</v>
      </c>
      <c r="N11" s="8">
        <f>(N8-N16)/N5</f>
        <v>454.70203238029626</v>
      </c>
      <c r="O11" s="8">
        <f>(O8-O16)/O5</f>
        <v>405.72792362768502</v>
      </c>
      <c r="P11" s="8">
        <f>(P8-P16)/P5</f>
        <v>407.62573686190899</v>
      </c>
      <c r="Q11" s="8">
        <f>(Q8-Q16)/Q5</f>
        <v>424.32082794307894</v>
      </c>
      <c r="R11" s="8">
        <f>(R8-R16)/R5</f>
        <v>455.82839401637028</v>
      </c>
      <c r="S11" s="8">
        <f>(S8-S16)/S5</f>
        <v>435.69333891914545</v>
      </c>
      <c r="T11" s="8">
        <f>(T8-T16)/T5</f>
        <v>388.75755187811927</v>
      </c>
      <c r="U11" s="8">
        <f>(U8-U16)/U5</f>
        <v>381.1420982735724</v>
      </c>
      <c r="V11" s="8">
        <f>(V8-V16)/V5</f>
        <v>389.19622518711355</v>
      </c>
      <c r="W11" s="8">
        <f>(W8-W16)/W5</f>
        <v>393.87023149657648</v>
      </c>
      <c r="X11" s="8">
        <f>(X8-X16)/X5</f>
        <v>412.06370721789222</v>
      </c>
      <c r="Y11" s="8">
        <f>(Y8-Y16)/Y5</f>
        <v>427.18446601941747</v>
      </c>
      <c r="Z11" s="8">
        <f>(Z8-Z16)/Z5</f>
        <v>418.85521885521888</v>
      </c>
      <c r="AA11" s="8">
        <f>(AA8-AA16)/AA5</f>
        <v>417.33120680489105</v>
      </c>
      <c r="AB11" s="8">
        <f>(AB8-AB16)/AB5</f>
        <v>419.5042222827567</v>
      </c>
      <c r="AC11" s="8">
        <f>(AC8-AC16)/AC5</f>
        <v>444.88383588729613</v>
      </c>
      <c r="AD11" s="8">
        <f>(AD8-AD16)/AD5</f>
        <v>473.19994158025412</v>
      </c>
      <c r="AE11" s="8">
        <f>(AE8-AE16)/AE5</f>
        <v>424.26699094716935</v>
      </c>
      <c r="AF11" s="8">
        <f>(AF8-AF16)/AF5</f>
        <v>409.04338734971248</v>
      </c>
      <c r="AG11" s="8">
        <f>(AG8-AG16)/AG5</f>
        <v>414.92675813614375</v>
      </c>
      <c r="AH11" s="8">
        <f>(AH8-AH16)/AH5</f>
        <v>425.38640404869375</v>
      </c>
      <c r="AI11" s="8">
        <f>(AI8-AI16)/AI5</f>
        <v>440.88176352705409</v>
      </c>
    </row>
    <row r="12" spans="1:35" s="3" customFormat="1" ht="24.95" customHeight="1">
      <c r="A12" s="51"/>
      <c r="B12" s="6" t="s">
        <v>45</v>
      </c>
      <c r="C12" s="8">
        <f>D12+'11月'!C12</f>
        <v>524280.97599999991</v>
      </c>
      <c r="D12" s="8">
        <f t="shared" ref="D12:D17" si="4">SUM(E12:AI12)</f>
        <v>41692.159999999996</v>
      </c>
      <c r="E12" s="7">
        <f>1213.22+0.04</f>
        <v>1213.26</v>
      </c>
      <c r="F12" s="7">
        <v>1503.14</v>
      </c>
      <c r="G12" s="7">
        <v>1247.48</v>
      </c>
      <c r="H12" s="7">
        <v>1341.78</v>
      </c>
      <c r="I12" s="7">
        <v>1366.24</v>
      </c>
      <c r="J12" s="7">
        <v>1383.04</v>
      </c>
      <c r="K12" s="7">
        <v>1339.82</v>
      </c>
      <c r="L12" s="7">
        <v>1587.64</v>
      </c>
      <c r="M12" s="7">
        <v>1408.98</v>
      </c>
      <c r="N12" s="7">
        <v>1339.84</v>
      </c>
      <c r="O12" s="7">
        <v>1476.22</v>
      </c>
      <c r="P12" s="7">
        <v>1416.94</v>
      </c>
      <c r="Q12" s="7">
        <v>1496.64</v>
      </c>
      <c r="R12" s="7">
        <v>1549.22</v>
      </c>
      <c r="S12" s="7">
        <v>1583.66</v>
      </c>
      <c r="T12" s="7">
        <v>1380.28</v>
      </c>
      <c r="U12" s="7">
        <v>1281.6199999999999</v>
      </c>
      <c r="V12" s="7">
        <v>1165.1400000000001</v>
      </c>
      <c r="W12" s="7">
        <v>1147.6600000000001</v>
      </c>
      <c r="X12" s="7">
        <v>1169.8399999999999</v>
      </c>
      <c r="Y12" s="7">
        <v>1286.8399999999999</v>
      </c>
      <c r="Z12" s="7">
        <v>1445.58</v>
      </c>
      <c r="AA12" s="7">
        <v>1230.3399999999999</v>
      </c>
      <c r="AB12" s="7">
        <v>1233.54</v>
      </c>
      <c r="AC12" s="7">
        <v>1344.16</v>
      </c>
      <c r="AD12" s="12">
        <v>1301.08</v>
      </c>
      <c r="AE12" s="12">
        <f>1347.38+6.48</f>
        <v>1353.8600000000001</v>
      </c>
      <c r="AF12" s="7">
        <v>1222</v>
      </c>
      <c r="AG12" s="7">
        <v>1193.3800000000001</v>
      </c>
      <c r="AH12" s="7">
        <v>1290.28</v>
      </c>
      <c r="AI12" s="7">
        <v>1392.66</v>
      </c>
    </row>
    <row r="13" spans="1:35" s="3" customFormat="1" ht="24.95" customHeight="1">
      <c r="A13" s="52" t="s">
        <v>46</v>
      </c>
      <c r="B13" s="6" t="s">
        <v>36</v>
      </c>
      <c r="C13" s="8">
        <f>D13+'11月'!C13</f>
        <v>527670</v>
      </c>
      <c r="D13" s="10">
        <f t="shared" si="4"/>
        <v>49122</v>
      </c>
      <c r="E13" s="7">
        <f>549+565+532</f>
        <v>1646</v>
      </c>
      <c r="F13" s="7">
        <f>551+505+530</f>
        <v>1586</v>
      </c>
      <c r="G13" s="7">
        <f>545+543+542</f>
        <v>1630</v>
      </c>
      <c r="H13" s="7">
        <f>541+553+532</f>
        <v>1626</v>
      </c>
      <c r="I13" s="7">
        <f>529+547+555</f>
        <v>1631</v>
      </c>
      <c r="J13" s="7">
        <f>521+542+517</f>
        <v>1580</v>
      </c>
      <c r="K13" s="7">
        <f>548+529+560</f>
        <v>1637</v>
      </c>
      <c r="L13" s="7">
        <f>555+542+559</f>
        <v>1656</v>
      </c>
      <c r="M13" s="27">
        <f>536+567+526</f>
        <v>1629</v>
      </c>
      <c r="N13" s="7">
        <f>544+579+510</f>
        <v>1633</v>
      </c>
      <c r="O13" s="7">
        <f>546+558+549</f>
        <v>1653</v>
      </c>
      <c r="P13" s="27">
        <f>545+539+561</f>
        <v>1645</v>
      </c>
      <c r="Q13" s="7">
        <f>539+529+555</f>
        <v>1623</v>
      </c>
      <c r="R13" s="7">
        <f>540+532+535</f>
        <v>1607</v>
      </c>
      <c r="S13" s="7">
        <f>532+521+505</f>
        <v>1558</v>
      </c>
      <c r="T13" s="7">
        <f>522+495+500</f>
        <v>1517</v>
      </c>
      <c r="U13" s="7">
        <f>514+516+495</f>
        <v>1525</v>
      </c>
      <c r="V13" s="7">
        <f>498+512+518</f>
        <v>1528</v>
      </c>
      <c r="W13" s="7">
        <f>504+509+509</f>
        <v>1522</v>
      </c>
      <c r="X13" s="7">
        <f>508+515+520</f>
        <v>1543</v>
      </c>
      <c r="Y13" s="7">
        <f>531+516+530</f>
        <v>1577</v>
      </c>
      <c r="Z13" s="7">
        <f>521+520+515</f>
        <v>1556</v>
      </c>
      <c r="AA13" s="7">
        <f>519+515+518</f>
        <v>1552</v>
      </c>
      <c r="AB13" s="7">
        <f>520+519+501</f>
        <v>1540</v>
      </c>
      <c r="AC13" s="7">
        <f>529+518+512</f>
        <v>1559</v>
      </c>
      <c r="AD13" s="7">
        <f>532+520+544</f>
        <v>1596</v>
      </c>
      <c r="AE13" s="7">
        <f>512+502+518</f>
        <v>1532</v>
      </c>
      <c r="AF13" s="7">
        <f>520+520+529</f>
        <v>1569</v>
      </c>
      <c r="AG13" s="7">
        <f>526+527+518</f>
        <v>1571</v>
      </c>
      <c r="AH13" s="7">
        <f>530+512+504</f>
        <v>1546</v>
      </c>
      <c r="AI13" s="7">
        <f>534+514+501</f>
        <v>1549</v>
      </c>
    </row>
    <row r="14" spans="1:35" s="3" customFormat="1" ht="24.95" customHeight="1">
      <c r="A14" s="55"/>
      <c r="B14" s="6" t="s">
        <v>37</v>
      </c>
      <c r="C14" s="8">
        <f>D14+'11月'!C14</f>
        <v>547820</v>
      </c>
      <c r="D14" s="10">
        <f t="shared" si="4"/>
        <v>50452</v>
      </c>
      <c r="E14" s="7">
        <f>574+540+548</f>
        <v>1662</v>
      </c>
      <c r="F14" s="7">
        <f>561+541+554</f>
        <v>1656</v>
      </c>
      <c r="G14" s="7">
        <f>553+553+541</f>
        <v>1647</v>
      </c>
      <c r="H14" s="7">
        <f>550+557+531</f>
        <v>1638</v>
      </c>
      <c r="I14" s="7">
        <f>554+561+557</f>
        <v>1672</v>
      </c>
      <c r="J14" s="7">
        <f>548+534+548</f>
        <v>1630</v>
      </c>
      <c r="K14" s="7">
        <f>552+554+543</f>
        <v>1649</v>
      </c>
      <c r="L14" s="7">
        <f>558+553+543</f>
        <v>1654</v>
      </c>
      <c r="M14" s="27">
        <f>556+560+541</f>
        <v>1657</v>
      </c>
      <c r="N14" s="7">
        <f>560+555+568</f>
        <v>1683</v>
      </c>
      <c r="O14" s="7">
        <f>535+546+556</f>
        <v>1637</v>
      </c>
      <c r="P14" s="27">
        <f>554+548+565</f>
        <v>1667</v>
      </c>
      <c r="Q14" s="7">
        <f>570+555+555</f>
        <v>1680</v>
      </c>
      <c r="R14" s="7">
        <f>561+547+551</f>
        <v>1659</v>
      </c>
      <c r="S14" s="7">
        <f>550+548+529</f>
        <v>1627</v>
      </c>
      <c r="T14" s="7">
        <f>524+528+507</f>
        <v>1559</v>
      </c>
      <c r="U14" s="7">
        <f>476+495+502</f>
        <v>1473</v>
      </c>
      <c r="V14" s="7">
        <f>501+510+520</f>
        <v>1531</v>
      </c>
      <c r="W14" s="7">
        <f>505+505+540</f>
        <v>1550</v>
      </c>
      <c r="X14" s="7">
        <f>523+522+530</f>
        <v>1575</v>
      </c>
      <c r="Y14" s="7">
        <f>507+531+540</f>
        <v>1578</v>
      </c>
      <c r="Z14" s="7">
        <f>549+538+521</f>
        <v>1608</v>
      </c>
      <c r="AA14" s="7">
        <f>540+545+550</f>
        <v>1635</v>
      </c>
      <c r="AB14" s="7">
        <f>530+545+545</f>
        <v>1620</v>
      </c>
      <c r="AC14" s="7">
        <f>563+551+547</f>
        <v>1661</v>
      </c>
      <c r="AD14" s="7">
        <f>563+543+564</f>
        <v>1670</v>
      </c>
      <c r="AE14" s="7">
        <f>550+553+557</f>
        <v>1660</v>
      </c>
      <c r="AF14" s="7">
        <f>547+545+540</f>
        <v>1632</v>
      </c>
      <c r="AG14" s="7">
        <f>558+537+554</f>
        <v>1649</v>
      </c>
      <c r="AH14" s="7">
        <f>557+542+542</f>
        <v>1641</v>
      </c>
      <c r="AI14" s="7">
        <f>554+521+517</f>
        <v>1592</v>
      </c>
    </row>
    <row r="15" spans="1:35" s="3" customFormat="1" ht="24" customHeight="1">
      <c r="A15" s="56"/>
      <c r="B15" s="7" t="s">
        <v>38</v>
      </c>
      <c r="C15" s="8">
        <f>D15+'11月'!C15</f>
        <v>1075490</v>
      </c>
      <c r="D15" s="7">
        <f t="shared" si="4"/>
        <v>99574</v>
      </c>
      <c r="E15" s="7">
        <f t="shared" ref="E15:AI15" si="5">E13+E14</f>
        <v>3308</v>
      </c>
      <c r="F15" s="7">
        <f t="shared" si="5"/>
        <v>3242</v>
      </c>
      <c r="G15" s="7">
        <f t="shared" si="5"/>
        <v>3277</v>
      </c>
      <c r="H15" s="7">
        <f t="shared" si="5"/>
        <v>3264</v>
      </c>
      <c r="I15" s="7">
        <f t="shared" si="5"/>
        <v>3303</v>
      </c>
      <c r="J15" s="7">
        <f t="shared" si="5"/>
        <v>3210</v>
      </c>
      <c r="K15" s="7">
        <f t="shared" si="5"/>
        <v>3286</v>
      </c>
      <c r="L15" s="7">
        <f t="shared" si="5"/>
        <v>3310</v>
      </c>
      <c r="M15" s="7">
        <f t="shared" si="5"/>
        <v>3286</v>
      </c>
      <c r="N15" s="7">
        <f t="shared" si="5"/>
        <v>3316</v>
      </c>
      <c r="O15" s="7">
        <f t="shared" si="5"/>
        <v>3290</v>
      </c>
      <c r="P15" s="7">
        <f t="shared" si="5"/>
        <v>3312</v>
      </c>
      <c r="Q15" s="7">
        <f t="shared" si="5"/>
        <v>3303</v>
      </c>
      <c r="R15" s="7">
        <f t="shared" si="5"/>
        <v>3266</v>
      </c>
      <c r="S15" s="7">
        <f t="shared" si="5"/>
        <v>3185</v>
      </c>
      <c r="T15" s="7">
        <f t="shared" si="5"/>
        <v>3076</v>
      </c>
      <c r="U15" s="7">
        <f t="shared" si="5"/>
        <v>2998</v>
      </c>
      <c r="V15" s="7">
        <f t="shared" si="5"/>
        <v>3059</v>
      </c>
      <c r="W15" s="7">
        <f t="shared" si="5"/>
        <v>3072</v>
      </c>
      <c r="X15" s="7">
        <f t="shared" si="5"/>
        <v>3118</v>
      </c>
      <c r="Y15" s="7">
        <f t="shared" si="5"/>
        <v>3155</v>
      </c>
      <c r="Z15" s="7">
        <f t="shared" si="5"/>
        <v>3164</v>
      </c>
      <c r="AA15" s="7">
        <f t="shared" si="5"/>
        <v>3187</v>
      </c>
      <c r="AB15" s="7">
        <f t="shared" si="5"/>
        <v>3160</v>
      </c>
      <c r="AC15" s="7">
        <f t="shared" si="5"/>
        <v>3220</v>
      </c>
      <c r="AD15" s="7">
        <f t="shared" si="5"/>
        <v>3266</v>
      </c>
      <c r="AE15" s="7">
        <f t="shared" si="5"/>
        <v>3192</v>
      </c>
      <c r="AF15" s="7">
        <f t="shared" si="5"/>
        <v>3201</v>
      </c>
      <c r="AG15" s="7">
        <f t="shared" si="5"/>
        <v>3220</v>
      </c>
      <c r="AH15" s="7">
        <f t="shared" si="5"/>
        <v>3187</v>
      </c>
      <c r="AI15" s="7">
        <f t="shared" si="5"/>
        <v>3141</v>
      </c>
    </row>
    <row r="16" spans="1:35" s="3" customFormat="1" ht="24.95" customHeight="1">
      <c r="A16" s="51" t="s">
        <v>47</v>
      </c>
      <c r="B16" s="7" t="s">
        <v>38</v>
      </c>
      <c r="C16" s="8">
        <f>D16+'11月'!C16</f>
        <v>32420000</v>
      </c>
      <c r="D16" s="7">
        <f t="shared" si="4"/>
        <v>2630000</v>
      </c>
      <c r="E16" s="7">
        <v>86000</v>
      </c>
      <c r="F16" s="7">
        <v>82000</v>
      </c>
      <c r="G16" s="7">
        <v>84000</v>
      </c>
      <c r="H16" s="7">
        <v>86000</v>
      </c>
      <c r="I16" s="7">
        <v>84000</v>
      </c>
      <c r="J16" s="7">
        <v>82000</v>
      </c>
      <c r="K16" s="7">
        <v>84000</v>
      </c>
      <c r="L16" s="7">
        <v>86000</v>
      </c>
      <c r="M16" s="7">
        <v>88000</v>
      </c>
      <c r="N16" s="7">
        <v>86000</v>
      </c>
      <c r="O16" s="7">
        <v>90000</v>
      </c>
      <c r="P16" s="7">
        <v>86000</v>
      </c>
      <c r="Q16" s="7">
        <v>84000</v>
      </c>
      <c r="R16" s="7">
        <v>90000</v>
      </c>
      <c r="S16" s="7">
        <v>86000</v>
      </c>
      <c r="T16" s="7">
        <v>84000</v>
      </c>
      <c r="U16" s="7">
        <v>82000</v>
      </c>
      <c r="V16" s="7">
        <v>82000</v>
      </c>
      <c r="W16" s="7">
        <v>82000</v>
      </c>
      <c r="X16" s="7">
        <v>82000</v>
      </c>
      <c r="Y16" s="7">
        <v>82000</v>
      </c>
      <c r="Z16" s="7">
        <v>88000</v>
      </c>
      <c r="AA16" s="7">
        <v>86000</v>
      </c>
      <c r="AB16" s="7">
        <v>88000</v>
      </c>
      <c r="AC16" s="7">
        <v>86000</v>
      </c>
      <c r="AD16" s="7">
        <v>84000</v>
      </c>
      <c r="AE16" s="7">
        <v>84000</v>
      </c>
      <c r="AF16" s="7">
        <v>86000</v>
      </c>
      <c r="AG16" s="7">
        <v>86000</v>
      </c>
      <c r="AH16" s="7">
        <v>84000</v>
      </c>
      <c r="AI16" s="7">
        <v>80000</v>
      </c>
    </row>
    <row r="17" spans="1:35" s="3" customFormat="1" ht="24.95" customHeight="1">
      <c r="A17" s="51"/>
      <c r="B17" s="7" t="s">
        <v>77</v>
      </c>
      <c r="C17" s="8">
        <f>D17+'11月'!C17</f>
        <v>1639765</v>
      </c>
      <c r="D17" s="7">
        <f t="shared" si="4"/>
        <v>95025</v>
      </c>
      <c r="E17" s="7">
        <v>1980</v>
      </c>
      <c r="F17" s="7">
        <v>1620</v>
      </c>
      <c r="G17" s="7">
        <v>1620</v>
      </c>
      <c r="H17" s="7">
        <v>1890</v>
      </c>
      <c r="I17" s="7">
        <v>1845</v>
      </c>
      <c r="J17" s="7">
        <v>1515</v>
      </c>
      <c r="K17" s="7">
        <v>1545</v>
      </c>
      <c r="L17" s="7">
        <v>1815</v>
      </c>
      <c r="M17" s="7">
        <v>1740</v>
      </c>
      <c r="N17" s="7">
        <v>2115</v>
      </c>
      <c r="O17" s="7">
        <v>2625</v>
      </c>
      <c r="P17" s="7">
        <v>2445</v>
      </c>
      <c r="Q17" s="7">
        <v>2040</v>
      </c>
      <c r="R17" s="7">
        <v>3600</v>
      </c>
      <c r="S17" s="7">
        <v>5145</v>
      </c>
      <c r="T17" s="7">
        <v>4455</v>
      </c>
      <c r="U17" s="7">
        <v>4695</v>
      </c>
      <c r="V17" s="7">
        <v>4470</v>
      </c>
      <c r="W17" s="7">
        <v>4590</v>
      </c>
      <c r="X17" s="7">
        <v>4395</v>
      </c>
      <c r="Y17" s="7">
        <v>3675</v>
      </c>
      <c r="Z17" s="7">
        <v>4140</v>
      </c>
      <c r="AA17" s="7">
        <v>4380</v>
      </c>
      <c r="AB17" s="7">
        <v>4350</v>
      </c>
      <c r="AC17" s="7">
        <v>3960</v>
      </c>
      <c r="AD17" s="7">
        <v>3225</v>
      </c>
      <c r="AE17" s="7">
        <v>3330</v>
      </c>
      <c r="AF17" s="7">
        <v>2925</v>
      </c>
      <c r="AG17" s="7">
        <v>2370</v>
      </c>
      <c r="AH17" s="7">
        <v>3060</v>
      </c>
      <c r="AI17" s="7">
        <v>3465</v>
      </c>
    </row>
    <row r="18" spans="1:35" s="3" customFormat="1" ht="24.95" customHeight="1">
      <c r="A18" s="51"/>
      <c r="B18" s="6" t="s">
        <v>48</v>
      </c>
      <c r="C18" s="11">
        <f>SUM(C16/C8)</f>
        <v>0.13659958876866551</v>
      </c>
      <c r="D18" s="11">
        <f>SUM(D16/D8)</f>
        <v>0.11837249077324692</v>
      </c>
      <c r="E18" s="11">
        <f>SUM(E16/E8)</f>
        <v>0.11590296495956873</v>
      </c>
      <c r="F18" s="11">
        <f>SUM(F16/F8)</f>
        <v>0.11202185792349727</v>
      </c>
      <c r="G18" s="11">
        <f>SUM(G16/G8)</f>
        <v>0.11444141689373297</v>
      </c>
      <c r="H18" s="11">
        <f>SUM(H16/H8)</f>
        <v>0.11684782608695653</v>
      </c>
      <c r="I18" s="11">
        <f>SUM(I16/I8)</f>
        <v>0.11351351351351352</v>
      </c>
      <c r="J18" s="11">
        <f>SUM(J16/J8)</f>
        <v>0.11357340720221606</v>
      </c>
      <c r="K18" s="11">
        <f>SUM(K16/K8)</f>
        <v>0.11382113821138211</v>
      </c>
      <c r="L18" s="11">
        <f>SUM(L16/L8)</f>
        <v>0.11684782608695653</v>
      </c>
      <c r="M18" s="11">
        <f>SUM(M16/M8)</f>
        <v>0.11989100817438691</v>
      </c>
      <c r="N18" s="11">
        <f>SUM(N16/N8)</f>
        <v>0.11528150134048257</v>
      </c>
      <c r="O18" s="11">
        <f>SUM(O16/O8)</f>
        <v>0.12228260869565218</v>
      </c>
      <c r="P18" s="11">
        <f>SUM(P16/P8)</f>
        <v>0.11684782608695653</v>
      </c>
      <c r="Q18" s="11">
        <f>SUM(Q16/Q8)</f>
        <v>0.11351351351351352</v>
      </c>
      <c r="R18" s="11">
        <f>SUM(R16/R8)</f>
        <v>0.12228260869565218</v>
      </c>
      <c r="S18" s="11">
        <f>SUM(S16/S8)</f>
        <v>0.12112676056338029</v>
      </c>
      <c r="T18" s="11">
        <f>SUM(T16/T8)</f>
        <v>0.1242603550295858</v>
      </c>
      <c r="U18" s="11">
        <f>SUM(U16/U8)</f>
        <v>0.125</v>
      </c>
      <c r="V18" s="11">
        <f>SUM(V16/V8)</f>
        <v>0.12058823529411765</v>
      </c>
      <c r="W18" s="11">
        <f>SUM(W16/W8)</f>
        <v>0.119533527696793</v>
      </c>
      <c r="X18" s="11">
        <f>SUM(X16/X8)</f>
        <v>0.11884057971014493</v>
      </c>
      <c r="Y18" s="11">
        <f>SUM(Y16/Y8)</f>
        <v>0.1174785100286533</v>
      </c>
      <c r="Z18" s="11">
        <f>SUM(Z16/Z8)</f>
        <v>0.12394366197183099</v>
      </c>
      <c r="AA18" s="11">
        <f>SUM(AA16/AA8)</f>
        <v>0.12044817927170869</v>
      </c>
      <c r="AB18" s="11">
        <f>SUM(AB16/AB8)</f>
        <v>0.125</v>
      </c>
      <c r="AC18" s="11">
        <f>SUM(AC16/AC8)</f>
        <v>0.12011173184357542</v>
      </c>
      <c r="AD18" s="11">
        <f>SUM(AD16/AD8)</f>
        <v>0.11475409836065574</v>
      </c>
      <c r="AE18" s="11">
        <f>SUM(AE16/AE8)</f>
        <v>0.11797752808988764</v>
      </c>
      <c r="AF18" s="11">
        <f>SUM(AF16/AF8)</f>
        <v>0.12078651685393259</v>
      </c>
      <c r="AG18" s="11">
        <f>SUM(AG16/AG8)</f>
        <v>0.12078651685393259</v>
      </c>
      <c r="AH18" s="11">
        <f>SUM(AH16/AH8)</f>
        <v>0.11898016997167139</v>
      </c>
      <c r="AI18" s="11">
        <f>SUM(AI16/AI8)</f>
        <v>0.11494252873563218</v>
      </c>
    </row>
    <row r="19" spans="1:35" s="3" customFormat="1" ht="24.95" customHeight="1">
      <c r="A19" s="13"/>
      <c r="B19" s="13" t="s">
        <v>49</v>
      </c>
      <c r="C19" s="7">
        <f>D19+'11月'!C19</f>
        <v>184</v>
      </c>
      <c r="D19" s="7">
        <f>COUNT(E19:AI19)</f>
        <v>31</v>
      </c>
      <c r="E19" s="14">
        <v>14200</v>
      </c>
      <c r="F19" s="14">
        <v>14300</v>
      </c>
      <c r="G19" s="14">
        <v>13900</v>
      </c>
      <c r="H19" s="14">
        <v>13700</v>
      </c>
      <c r="I19" s="14">
        <v>13600</v>
      </c>
      <c r="J19" s="14">
        <v>13400</v>
      </c>
      <c r="K19" s="14">
        <v>13200</v>
      </c>
      <c r="L19" s="14">
        <v>13300</v>
      </c>
      <c r="M19" s="7">
        <v>13200</v>
      </c>
      <c r="N19" s="7">
        <v>13000</v>
      </c>
      <c r="O19" s="7">
        <v>12800</v>
      </c>
      <c r="P19" s="7">
        <v>12500</v>
      </c>
      <c r="Q19" s="7">
        <v>12300</v>
      </c>
      <c r="R19" s="7">
        <v>12400</v>
      </c>
      <c r="S19" s="7">
        <v>12500</v>
      </c>
      <c r="T19" s="7">
        <v>12300</v>
      </c>
      <c r="U19" s="7">
        <v>12000</v>
      </c>
      <c r="V19" s="7">
        <v>11500</v>
      </c>
      <c r="W19" s="7">
        <v>10900</v>
      </c>
      <c r="X19" s="7">
        <v>10400</v>
      </c>
      <c r="Y19" s="7">
        <v>10100</v>
      </c>
      <c r="Z19" s="7">
        <v>10000</v>
      </c>
      <c r="AA19" s="7">
        <v>9700</v>
      </c>
      <c r="AB19" s="7">
        <v>9500</v>
      </c>
      <c r="AC19" s="7">
        <v>9500</v>
      </c>
      <c r="AD19" s="7">
        <v>9400</v>
      </c>
      <c r="AE19" s="7">
        <v>9000</v>
      </c>
      <c r="AF19" s="7">
        <v>8500</v>
      </c>
      <c r="AG19" s="7">
        <v>8200</v>
      </c>
      <c r="AH19" s="7">
        <v>7600</v>
      </c>
      <c r="AI19" s="7">
        <v>7500</v>
      </c>
    </row>
    <row r="20" spans="1:35" s="3" customFormat="1" ht="24.95" customHeight="1">
      <c r="A20" s="62" t="s">
        <v>50</v>
      </c>
      <c r="B20" s="13" t="s">
        <v>51</v>
      </c>
      <c r="C20" s="7">
        <f>D20+'11月'!C20</f>
        <v>104100.02</v>
      </c>
      <c r="D20" s="7">
        <f t="shared" ref="D20:D33" si="6">SUM(E20:AI20)</f>
        <v>8935.7800000000025</v>
      </c>
      <c r="E20" s="7">
        <v>237.06</v>
      </c>
      <c r="F20" s="15">
        <v>237.34</v>
      </c>
      <c r="G20" s="15">
        <v>176.8</v>
      </c>
      <c r="H20" s="15">
        <v>184</v>
      </c>
      <c r="I20" s="15">
        <v>187.6</v>
      </c>
      <c r="J20" s="15">
        <v>240.5</v>
      </c>
      <c r="K20" s="15">
        <v>231.58</v>
      </c>
      <c r="L20" s="15">
        <v>240.78</v>
      </c>
      <c r="M20" s="15">
        <v>215.42</v>
      </c>
      <c r="N20" s="15">
        <v>220.94</v>
      </c>
      <c r="O20" s="15">
        <v>209.3</v>
      </c>
      <c r="P20" s="15">
        <v>217.7</v>
      </c>
      <c r="Q20" s="15">
        <v>194.18</v>
      </c>
      <c r="R20" s="17">
        <v>218.54</v>
      </c>
      <c r="S20" s="15">
        <v>209.82</v>
      </c>
      <c r="T20" s="15">
        <v>258.3</v>
      </c>
      <c r="U20" s="15">
        <v>264.14</v>
      </c>
      <c r="V20" s="15">
        <v>240.22</v>
      </c>
      <c r="W20" s="15">
        <v>246.78</v>
      </c>
      <c r="X20" s="15">
        <v>343.68</v>
      </c>
      <c r="Y20" s="15">
        <v>375.44</v>
      </c>
      <c r="Z20" s="15">
        <v>456.7</v>
      </c>
      <c r="AA20" s="15">
        <v>392.1</v>
      </c>
      <c r="AB20" s="15">
        <v>290.68</v>
      </c>
      <c r="AC20" s="15">
        <v>426.6</v>
      </c>
      <c r="AD20" s="15">
        <v>471.1</v>
      </c>
      <c r="AE20" s="15">
        <v>422.1</v>
      </c>
      <c r="AF20" s="15">
        <v>311.2</v>
      </c>
      <c r="AG20" s="15">
        <v>304.60000000000002</v>
      </c>
      <c r="AH20" s="15">
        <v>403.04</v>
      </c>
      <c r="AI20" s="15">
        <v>507.54</v>
      </c>
    </row>
    <row r="21" spans="1:35" s="3" customFormat="1" ht="24.95" customHeight="1">
      <c r="A21" s="63"/>
      <c r="B21" s="16" t="s">
        <v>79</v>
      </c>
      <c r="C21" s="7">
        <f>D21+'11月'!C21</f>
        <v>13453.98</v>
      </c>
      <c r="D21" s="7">
        <f t="shared" si="6"/>
        <v>2627.4799999999996</v>
      </c>
      <c r="E21" s="17">
        <v>107.08</v>
      </c>
      <c r="F21" s="15">
        <v>121.08</v>
      </c>
      <c r="G21" s="15">
        <v>94.1</v>
      </c>
      <c r="H21" s="15">
        <v>62.1</v>
      </c>
      <c r="I21" s="15">
        <v>104.16</v>
      </c>
      <c r="J21" s="15">
        <v>111.96</v>
      </c>
      <c r="K21" s="15">
        <v>142.41999999999999</v>
      </c>
      <c r="L21" s="15">
        <v>198.3</v>
      </c>
      <c r="M21" s="15">
        <v>194.58</v>
      </c>
      <c r="N21" s="15">
        <v>197.54</v>
      </c>
      <c r="O21" s="15">
        <v>199.88</v>
      </c>
      <c r="P21" s="15">
        <v>195.5</v>
      </c>
      <c r="Q21" s="15">
        <v>205.12</v>
      </c>
      <c r="R21" s="17">
        <v>207.08</v>
      </c>
      <c r="S21" s="15">
        <v>200.22</v>
      </c>
      <c r="T21" s="15">
        <v>209.78</v>
      </c>
      <c r="U21" s="15">
        <v>76.58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3"/>
      <c r="B22" s="16" t="s">
        <v>53</v>
      </c>
      <c r="C22" s="7">
        <f>D22+'11月'!C22</f>
        <v>0</v>
      </c>
      <c r="D22" s="7">
        <f t="shared" si="6"/>
        <v>0</v>
      </c>
      <c r="E22" s="17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4.95" customHeight="1">
      <c r="A23" s="63"/>
      <c r="B23" s="13" t="s">
        <v>54</v>
      </c>
      <c r="C23" s="7">
        <f>D23+'11月'!C23</f>
        <v>2536.52</v>
      </c>
      <c r="D23" s="7">
        <f t="shared" si="6"/>
        <v>0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3" t="s">
        <v>55</v>
      </c>
      <c r="C24" s="7">
        <f>D24+'11月'!C24</f>
        <v>2890.84</v>
      </c>
      <c r="D24" s="7">
        <f t="shared" si="6"/>
        <v>0</v>
      </c>
      <c r="E24" s="17"/>
      <c r="F24" s="15"/>
      <c r="G24" s="15"/>
      <c r="H24" s="15"/>
      <c r="I24" s="17"/>
      <c r="J24" s="17"/>
      <c r="K24" s="15"/>
      <c r="L24" s="17"/>
      <c r="M24" s="15"/>
      <c r="N24" s="15"/>
      <c r="O24" s="15"/>
      <c r="P24" s="17"/>
      <c r="Q24" s="15"/>
      <c r="R24" s="17"/>
      <c r="S24" s="15"/>
      <c r="T24" s="17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7"/>
      <c r="AI24" s="15"/>
    </row>
    <row r="25" spans="1:35" s="3" customFormat="1" ht="22.15" customHeight="1">
      <c r="A25" s="63"/>
      <c r="B25" s="18" t="s">
        <v>52</v>
      </c>
      <c r="C25" s="7">
        <f>D25+'11月'!C25</f>
        <v>504.65999999999997</v>
      </c>
      <c r="D25" s="7">
        <f t="shared" si="6"/>
        <v>0</v>
      </c>
      <c r="E25" s="17"/>
      <c r="F25" s="15"/>
      <c r="G25" s="15"/>
      <c r="H25" s="15"/>
      <c r="I25" s="17"/>
      <c r="J25" s="17"/>
      <c r="K25" s="15"/>
      <c r="L25" s="17"/>
      <c r="M25" s="15"/>
      <c r="N25" s="15"/>
      <c r="O25" s="15"/>
      <c r="P25" s="17"/>
      <c r="Q25" s="15"/>
      <c r="R25" s="17"/>
      <c r="S25" s="15"/>
      <c r="T25" s="17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7"/>
      <c r="AI25" s="15"/>
    </row>
    <row r="26" spans="1:35" s="3" customFormat="1" ht="22.15" customHeight="1">
      <c r="A26" s="63"/>
      <c r="B26" s="16" t="s">
        <v>57</v>
      </c>
      <c r="C26" s="7">
        <f>D26+'11月'!C26</f>
        <v>88351.16</v>
      </c>
      <c r="D26" s="7">
        <f t="shared" si="6"/>
        <v>7107.42</v>
      </c>
      <c r="E26" s="17">
        <v>262.18</v>
      </c>
      <c r="F26" s="15">
        <v>239.06</v>
      </c>
      <c r="G26" s="15">
        <v>196.44</v>
      </c>
      <c r="H26" s="15">
        <v>211.34</v>
      </c>
      <c r="I26" s="17">
        <v>244.82</v>
      </c>
      <c r="J26" s="17">
        <v>208.14</v>
      </c>
      <c r="K26" s="15">
        <v>233.8</v>
      </c>
      <c r="L26" s="17">
        <v>218.7</v>
      </c>
      <c r="M26" s="15">
        <v>233.6</v>
      </c>
      <c r="N26" s="15">
        <v>217.24</v>
      </c>
      <c r="O26" s="15">
        <v>238.44</v>
      </c>
      <c r="P26" s="17">
        <v>218.32</v>
      </c>
      <c r="Q26" s="15">
        <v>256.82</v>
      </c>
      <c r="R26" s="17">
        <v>234.28</v>
      </c>
      <c r="S26" s="15">
        <v>232.96</v>
      </c>
      <c r="T26" s="17">
        <v>211.06</v>
      </c>
      <c r="U26" s="15">
        <v>247.18</v>
      </c>
      <c r="V26" s="15">
        <v>216.58</v>
      </c>
      <c r="W26" s="15">
        <v>229.08</v>
      </c>
      <c r="X26" s="15">
        <v>220.86</v>
      </c>
      <c r="Y26" s="15">
        <v>224.08</v>
      </c>
      <c r="Z26" s="15">
        <v>236.38</v>
      </c>
      <c r="AA26" s="15">
        <v>237.02</v>
      </c>
      <c r="AB26" s="15">
        <v>222.98</v>
      </c>
      <c r="AC26" s="15">
        <v>246.9</v>
      </c>
      <c r="AD26" s="15">
        <v>219.38</v>
      </c>
      <c r="AE26" s="15">
        <v>221.06</v>
      </c>
      <c r="AF26" s="15">
        <v>226.18</v>
      </c>
      <c r="AG26" s="15">
        <v>245.94</v>
      </c>
      <c r="AH26" s="17">
        <v>226.3</v>
      </c>
      <c r="AI26" s="15">
        <v>230.3</v>
      </c>
    </row>
    <row r="27" spans="1:35" s="3" customFormat="1" ht="22.15" customHeight="1">
      <c r="A27" s="63"/>
      <c r="B27" s="16" t="s">
        <v>78</v>
      </c>
      <c r="C27" s="7">
        <f>D27+'11月'!C27</f>
        <v>2641.76</v>
      </c>
      <c r="D27" s="7">
        <f t="shared" si="6"/>
        <v>0</v>
      </c>
      <c r="E27" s="17"/>
      <c r="F27" s="15"/>
      <c r="G27" s="15"/>
      <c r="H27" s="15"/>
      <c r="I27" s="17"/>
      <c r="J27" s="17"/>
      <c r="K27" s="15"/>
      <c r="L27" s="17"/>
      <c r="M27" s="15"/>
      <c r="N27" s="15"/>
      <c r="O27" s="15"/>
      <c r="P27" s="17"/>
      <c r="Q27" s="15"/>
      <c r="R27" s="17"/>
      <c r="S27" s="15"/>
      <c r="T27" s="17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7"/>
      <c r="AI27" s="15"/>
    </row>
    <row r="28" spans="1:35" s="3" customFormat="1" ht="22.15" customHeight="1">
      <c r="A28" s="63"/>
      <c r="B28" s="19" t="s">
        <v>59</v>
      </c>
      <c r="C28" s="7">
        <f>D28+'11月'!C28</f>
        <v>59737.78</v>
      </c>
      <c r="D28" s="7">
        <f t="shared" si="6"/>
        <v>5547.4199999999983</v>
      </c>
      <c r="E28" s="17">
        <v>84.42</v>
      </c>
      <c r="F28" s="15">
        <v>182.84</v>
      </c>
      <c r="G28" s="15">
        <v>186.72</v>
      </c>
      <c r="H28" s="15">
        <v>170.1</v>
      </c>
      <c r="I28" s="17">
        <v>182.56</v>
      </c>
      <c r="J28" s="17">
        <v>169.04</v>
      </c>
      <c r="K28" s="15">
        <v>173.9</v>
      </c>
      <c r="L28" s="17">
        <v>207.72</v>
      </c>
      <c r="M28" s="15">
        <v>167.3</v>
      </c>
      <c r="N28" s="15">
        <v>163.92</v>
      </c>
      <c r="O28" s="15">
        <v>183.04</v>
      </c>
      <c r="P28" s="17">
        <v>175.78</v>
      </c>
      <c r="Q28" s="15">
        <v>191.7</v>
      </c>
      <c r="R28" s="17">
        <v>172.42</v>
      </c>
      <c r="S28" s="15">
        <v>180.36</v>
      </c>
      <c r="T28" s="17">
        <v>184</v>
      </c>
      <c r="U28" s="15">
        <v>195.08</v>
      </c>
      <c r="V28" s="15">
        <v>200.76</v>
      </c>
      <c r="W28" s="15">
        <v>162.74</v>
      </c>
      <c r="X28" s="15">
        <v>169.12</v>
      </c>
      <c r="Y28" s="15">
        <v>188.68</v>
      </c>
      <c r="Z28" s="15">
        <v>208.92</v>
      </c>
      <c r="AA28" s="15">
        <v>179.02</v>
      </c>
      <c r="AB28" s="15">
        <v>176.42</v>
      </c>
      <c r="AC28" s="15">
        <v>185.8</v>
      </c>
      <c r="AD28" s="15">
        <v>174.72</v>
      </c>
      <c r="AE28" s="15">
        <v>170.86</v>
      </c>
      <c r="AF28" s="15">
        <v>207.28</v>
      </c>
      <c r="AG28" s="15">
        <v>164.86</v>
      </c>
      <c r="AH28" s="17">
        <v>182.9</v>
      </c>
      <c r="AI28" s="15">
        <v>204.44</v>
      </c>
    </row>
    <row r="29" spans="1:35" s="3" customFormat="1" ht="22.15" customHeight="1">
      <c r="A29" s="63"/>
      <c r="B29" s="19" t="s">
        <v>60</v>
      </c>
      <c r="C29" s="7">
        <f>D29+'11月'!C29</f>
        <v>60107.959999999992</v>
      </c>
      <c r="D29" s="7">
        <f t="shared" si="6"/>
        <v>2518.2399999999998</v>
      </c>
      <c r="E29" s="17">
        <v>103.98</v>
      </c>
      <c r="F29" s="15">
        <v>167.44</v>
      </c>
      <c r="G29" s="15">
        <v>141.47999999999999</v>
      </c>
      <c r="H29" s="15">
        <v>160.80000000000001</v>
      </c>
      <c r="I29" s="17">
        <v>199.64</v>
      </c>
      <c r="J29" s="17">
        <v>171.38</v>
      </c>
      <c r="K29" s="15">
        <v>147.46</v>
      </c>
      <c r="L29" s="17">
        <v>141.38</v>
      </c>
      <c r="M29" s="15">
        <v>161.04</v>
      </c>
      <c r="N29" s="15">
        <v>157.06</v>
      </c>
      <c r="O29" s="15">
        <v>150.72</v>
      </c>
      <c r="P29" s="17">
        <v>155.38</v>
      </c>
      <c r="Q29" s="15">
        <v>162.68</v>
      </c>
      <c r="R29" s="17">
        <v>153.9</v>
      </c>
      <c r="S29" s="15">
        <v>194.32</v>
      </c>
      <c r="T29" s="17">
        <v>149.58000000000001</v>
      </c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7"/>
      <c r="AI29" s="15"/>
    </row>
    <row r="30" spans="1:35" s="3" customFormat="1" ht="22.15" customHeight="1">
      <c r="A30" s="63"/>
      <c r="B30" s="19" t="s">
        <v>61</v>
      </c>
      <c r="C30" s="7">
        <f>D30+'11月'!C30</f>
        <v>189192.2</v>
      </c>
      <c r="D30" s="7">
        <f t="shared" si="6"/>
        <v>14949.300000000003</v>
      </c>
      <c r="E30" s="17">
        <v>418.5</v>
      </c>
      <c r="F30" s="15">
        <v>555.38</v>
      </c>
      <c r="G30" s="15">
        <v>451.94</v>
      </c>
      <c r="H30" s="15">
        <v>553.44000000000005</v>
      </c>
      <c r="I30" s="17">
        <v>447.46</v>
      </c>
      <c r="J30" s="17">
        <v>482.02</v>
      </c>
      <c r="K30" s="15">
        <v>410.66</v>
      </c>
      <c r="L30" s="17">
        <v>580.76</v>
      </c>
      <c r="M30" s="15">
        <v>437.04</v>
      </c>
      <c r="N30" s="15">
        <v>383.14</v>
      </c>
      <c r="O30" s="15">
        <v>494.84</v>
      </c>
      <c r="P30" s="17">
        <v>454.26</v>
      </c>
      <c r="Q30" s="15">
        <v>486.14</v>
      </c>
      <c r="R30" s="17">
        <v>563</v>
      </c>
      <c r="S30" s="15">
        <v>565.98</v>
      </c>
      <c r="T30" s="17">
        <v>367.56</v>
      </c>
      <c r="U30" s="15">
        <v>498.64</v>
      </c>
      <c r="V30" s="15">
        <v>507.58</v>
      </c>
      <c r="W30" s="15">
        <v>509.06</v>
      </c>
      <c r="X30" s="15">
        <v>436.18</v>
      </c>
      <c r="Y30" s="15">
        <v>498.64</v>
      </c>
      <c r="Z30" s="15">
        <v>543.58000000000004</v>
      </c>
      <c r="AA30" s="15">
        <v>422.2</v>
      </c>
      <c r="AB30" s="15">
        <v>543.46</v>
      </c>
      <c r="AC30" s="15">
        <v>484.86</v>
      </c>
      <c r="AD30" s="15">
        <v>435.88</v>
      </c>
      <c r="AE30" s="15">
        <v>533.36</v>
      </c>
      <c r="AF30" s="15">
        <v>477.34</v>
      </c>
      <c r="AG30" s="15">
        <v>477.98</v>
      </c>
      <c r="AH30" s="17">
        <v>478.04</v>
      </c>
      <c r="AI30" s="15">
        <v>450.38</v>
      </c>
    </row>
    <row r="31" spans="1:35" s="3" customFormat="1" ht="22.15" customHeight="1">
      <c r="A31" s="63"/>
      <c r="B31" s="19" t="s">
        <v>62</v>
      </c>
      <c r="C31" s="7">
        <f>D31+'11月'!C31</f>
        <v>45</v>
      </c>
      <c r="D31" s="7">
        <f t="shared" si="6"/>
        <v>0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7"/>
      <c r="AI31" s="15"/>
    </row>
    <row r="32" spans="1:35" s="3" customFormat="1" ht="22.15" customHeight="1">
      <c r="A32" s="63"/>
      <c r="B32" s="47" t="s">
        <v>80</v>
      </c>
      <c r="C32" s="7">
        <f>D32+'11月'!C32</f>
        <v>6.48</v>
      </c>
      <c r="D32" s="7">
        <f t="shared" si="6"/>
        <v>6.48</v>
      </c>
      <c r="E32" s="17"/>
      <c r="F32" s="15"/>
      <c r="G32" s="15"/>
      <c r="H32" s="15"/>
      <c r="I32" s="17"/>
      <c r="J32" s="17"/>
      <c r="K32" s="15"/>
      <c r="L32" s="17"/>
      <c r="M32" s="15"/>
      <c r="N32" s="15"/>
      <c r="O32" s="15"/>
      <c r="P32" s="17"/>
      <c r="Q32" s="15"/>
      <c r="R32" s="17"/>
      <c r="S32" s="15"/>
      <c r="T32" s="17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>
        <v>6.48</v>
      </c>
      <c r="AF32" s="15"/>
      <c r="AG32" s="15"/>
      <c r="AH32" s="17"/>
      <c r="AI32" s="15"/>
    </row>
    <row r="33" spans="1:35" s="3" customFormat="1" ht="22.15" customHeight="1">
      <c r="A33" s="63"/>
      <c r="B33" s="19" t="s">
        <v>64</v>
      </c>
      <c r="C33" s="7">
        <f>D33+'11月'!C33</f>
        <v>712.62</v>
      </c>
      <c r="D33" s="7">
        <f t="shared" si="6"/>
        <v>0.04</v>
      </c>
      <c r="E33" s="17">
        <v>0.04</v>
      </c>
      <c r="F33" s="15"/>
      <c r="G33" s="15"/>
      <c r="H33" s="15"/>
      <c r="I33" s="17"/>
      <c r="J33" s="17"/>
      <c r="K33" s="15"/>
      <c r="L33" s="17"/>
      <c r="M33" s="15"/>
      <c r="N33" s="15"/>
      <c r="O33" s="15"/>
      <c r="P33" s="17"/>
      <c r="Q33" s="15"/>
      <c r="R33" s="17"/>
      <c r="S33" s="15"/>
      <c r="T33" s="17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28"/>
      <c r="AF33" s="28"/>
      <c r="AG33" s="15"/>
      <c r="AH33" s="17"/>
      <c r="AI33" s="15"/>
    </row>
    <row r="34" spans="1:35" s="3" customFormat="1" ht="22.15" hidden="1" customHeight="1">
      <c r="A34" s="63"/>
      <c r="B34" s="19"/>
      <c r="C34" s="7">
        <f>D34+'11月'!C34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5"/>
      <c r="AF34" s="17"/>
      <c r="AG34" s="17"/>
      <c r="AH34" s="17"/>
      <c r="AI34" s="17"/>
    </row>
    <row r="35" spans="1:35" s="3" customFormat="1" ht="22.15" hidden="1" customHeight="1">
      <c r="A35" s="63"/>
      <c r="B35" s="19"/>
      <c r="C35" s="7">
        <f>D35+'11月'!C35</f>
        <v>0</v>
      </c>
      <c r="D35" s="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3" customFormat="1" ht="26.1" customHeight="1">
      <c r="A36" s="64"/>
      <c r="B36" s="12" t="s">
        <v>65</v>
      </c>
      <c r="C36" s="7">
        <f>D36+'11月'!C36</f>
        <v>524280.97999999986</v>
      </c>
      <c r="D36" s="7">
        <f t="shared" ref="D36:AI36" si="7">SUM(D20:D35)</f>
        <v>41692.160000000003</v>
      </c>
      <c r="E36" s="7">
        <f t="shared" si="7"/>
        <v>1213.2599999999998</v>
      </c>
      <c r="F36" s="7">
        <f t="shared" si="7"/>
        <v>1503.1399999999999</v>
      </c>
      <c r="G36" s="7">
        <f t="shared" si="7"/>
        <v>1247.48</v>
      </c>
      <c r="H36" s="7">
        <f t="shared" si="7"/>
        <v>1341.78</v>
      </c>
      <c r="I36" s="7">
        <f t="shared" si="7"/>
        <v>1366.2399999999998</v>
      </c>
      <c r="J36" s="7">
        <f t="shared" si="7"/>
        <v>1383.04</v>
      </c>
      <c r="K36" s="7">
        <f t="shared" si="7"/>
        <v>1339.82</v>
      </c>
      <c r="L36" s="7">
        <f t="shared" si="7"/>
        <v>1587.6399999999999</v>
      </c>
      <c r="M36" s="7">
        <f t="shared" si="7"/>
        <v>1408.98</v>
      </c>
      <c r="N36" s="7">
        <f t="shared" si="7"/>
        <v>1339.8400000000001</v>
      </c>
      <c r="O36" s="7">
        <f t="shared" si="7"/>
        <v>1476.22</v>
      </c>
      <c r="P36" s="7">
        <f t="shared" si="7"/>
        <v>1416.94</v>
      </c>
      <c r="Q36" s="7">
        <f t="shared" si="7"/>
        <v>1496.6399999999999</v>
      </c>
      <c r="R36" s="7">
        <f t="shared" si="7"/>
        <v>1549.2199999999998</v>
      </c>
      <c r="S36" s="7">
        <f t="shared" si="7"/>
        <v>1583.66</v>
      </c>
      <c r="T36" s="7">
        <f t="shared" si="7"/>
        <v>1380.2800000000002</v>
      </c>
      <c r="U36" s="7">
        <f t="shared" si="7"/>
        <v>1281.6199999999999</v>
      </c>
      <c r="V36" s="7">
        <f t="shared" si="7"/>
        <v>1165.1399999999999</v>
      </c>
      <c r="W36" s="7">
        <f t="shared" si="7"/>
        <v>1147.6600000000001</v>
      </c>
      <c r="X36" s="7">
        <f t="shared" si="7"/>
        <v>1169.8399999999999</v>
      </c>
      <c r="Y36" s="7">
        <f t="shared" si="7"/>
        <v>1286.8400000000001</v>
      </c>
      <c r="Z36" s="7">
        <f t="shared" si="7"/>
        <v>1445.58</v>
      </c>
      <c r="AA36" s="7">
        <f t="shared" si="7"/>
        <v>1230.3399999999999</v>
      </c>
      <c r="AB36" s="7">
        <f t="shared" si="7"/>
        <v>1233.54</v>
      </c>
      <c r="AC36" s="7">
        <f t="shared" si="7"/>
        <v>1344.1599999999999</v>
      </c>
      <c r="AD36" s="7">
        <f t="shared" si="7"/>
        <v>1301.08</v>
      </c>
      <c r="AE36" s="7">
        <f t="shared" si="7"/>
        <v>1353.8600000000001</v>
      </c>
      <c r="AF36" s="7">
        <f t="shared" si="7"/>
        <v>1222</v>
      </c>
      <c r="AG36" s="7">
        <f t="shared" si="7"/>
        <v>1193.3800000000001</v>
      </c>
      <c r="AH36" s="7">
        <f t="shared" si="7"/>
        <v>1290.28</v>
      </c>
      <c r="AI36" s="7">
        <f t="shared" si="7"/>
        <v>1392.6599999999999</v>
      </c>
    </row>
    <row r="37" spans="1:35" s="3" customFormat="1" ht="26.25" customHeight="1">
      <c r="A37" s="61" t="s">
        <v>68</v>
      </c>
      <c r="B37" s="12" t="s">
        <v>66</v>
      </c>
      <c r="C37" s="7">
        <f>D37+'11月'!C37</f>
        <v>116799.58000000002</v>
      </c>
      <c r="D37" s="7">
        <f>SUM(E37:AI37)</f>
        <v>11981.52</v>
      </c>
      <c r="E37" s="7">
        <v>118.32</v>
      </c>
      <c r="F37" s="7">
        <v>480.82</v>
      </c>
      <c r="G37" s="7">
        <v>503.98</v>
      </c>
      <c r="H37" s="7">
        <v>377.26</v>
      </c>
      <c r="I37" s="7">
        <v>487.2</v>
      </c>
      <c r="J37" s="7">
        <v>405.36</v>
      </c>
      <c r="K37" s="7">
        <v>446.78</v>
      </c>
      <c r="L37" s="7">
        <v>428.82</v>
      </c>
      <c r="M37" s="7">
        <v>422.74</v>
      </c>
      <c r="N37" s="7">
        <v>431.86</v>
      </c>
      <c r="O37" s="7">
        <v>352.78</v>
      </c>
      <c r="P37" s="7">
        <v>365.86</v>
      </c>
      <c r="Q37" s="7">
        <v>426.4</v>
      </c>
      <c r="R37" s="7">
        <v>487.22</v>
      </c>
      <c r="S37" s="7">
        <v>408.54</v>
      </c>
      <c r="T37" s="7">
        <v>455.62</v>
      </c>
      <c r="U37" s="7">
        <v>437.32</v>
      </c>
      <c r="V37" s="7">
        <v>421.52</v>
      </c>
      <c r="W37" s="7">
        <v>331.52</v>
      </c>
      <c r="X37" s="7">
        <v>393.2</v>
      </c>
      <c r="Y37" s="7">
        <v>376.96</v>
      </c>
      <c r="Z37" s="7">
        <v>84.78</v>
      </c>
      <c r="AA37" s="7">
        <v>396.04</v>
      </c>
      <c r="AB37" s="7">
        <v>486.14</v>
      </c>
      <c r="AC37" s="7">
        <v>372.2</v>
      </c>
      <c r="AD37" s="7">
        <v>366.16</v>
      </c>
      <c r="AE37" s="7">
        <v>334.3</v>
      </c>
      <c r="AF37" s="7">
        <v>331.4</v>
      </c>
      <c r="AG37" s="7">
        <v>363.06</v>
      </c>
      <c r="AH37" s="7">
        <v>335.62</v>
      </c>
      <c r="AI37" s="7">
        <v>351.74</v>
      </c>
    </row>
    <row r="38" spans="1:35" s="3" customFormat="1" ht="26.1" customHeight="1">
      <c r="A38" s="53"/>
      <c r="B38" s="12" t="s">
        <v>67</v>
      </c>
      <c r="C38" s="7">
        <f>D38+'11月'!C38</f>
        <v>10747.120000000003</v>
      </c>
      <c r="D38" s="7">
        <f>SUM(E38:AI38)</f>
        <v>1001.8599999999998</v>
      </c>
      <c r="E38" s="7">
        <v>39.36</v>
      </c>
      <c r="F38" s="7">
        <v>22.14</v>
      </c>
      <c r="G38" s="7">
        <v>55.92</v>
      </c>
      <c r="H38" s="7">
        <v>35.58</v>
      </c>
      <c r="I38" s="7">
        <v>18.079999999999998</v>
      </c>
      <c r="J38" s="7">
        <v>27.52</v>
      </c>
      <c r="K38" s="7">
        <v>60.38</v>
      </c>
      <c r="L38" s="7">
        <v>55.72</v>
      </c>
      <c r="M38" s="7">
        <v>51.94</v>
      </c>
      <c r="N38" s="7">
        <v>29.08</v>
      </c>
      <c r="O38" s="7">
        <v>29.7</v>
      </c>
      <c r="P38" s="7">
        <v>23.12</v>
      </c>
      <c r="Q38" s="7">
        <v>4.9000000000000004</v>
      </c>
      <c r="R38" s="7">
        <v>48.22</v>
      </c>
      <c r="S38" s="7">
        <v>40.26</v>
      </c>
      <c r="T38" s="7">
        <v>29.78</v>
      </c>
      <c r="U38" s="7">
        <v>42.98</v>
      </c>
      <c r="V38" s="7">
        <v>12.24</v>
      </c>
      <c r="W38" s="7">
        <v>12.7</v>
      </c>
      <c r="X38" s="7">
        <v>54.88</v>
      </c>
      <c r="Y38" s="7">
        <v>30.08</v>
      </c>
      <c r="Z38" s="7">
        <v>21.64</v>
      </c>
      <c r="AA38" s="7">
        <v>20.58</v>
      </c>
      <c r="AB38" s="7">
        <v>51.94</v>
      </c>
      <c r="AC38" s="7">
        <v>18.52</v>
      </c>
      <c r="AD38" s="7">
        <v>32.86</v>
      </c>
      <c r="AE38" s="7">
        <v>29.06</v>
      </c>
      <c r="AF38" s="7">
        <v>22.06</v>
      </c>
      <c r="AG38" s="7">
        <v>20.399999999999999</v>
      </c>
      <c r="AH38" s="7">
        <v>21.04</v>
      </c>
      <c r="AI38" s="7">
        <v>39.18</v>
      </c>
    </row>
    <row r="39" spans="1:35" s="3" customFormat="1" ht="24.95" customHeight="1">
      <c r="A39" s="54"/>
      <c r="B39" s="6" t="s">
        <v>69</v>
      </c>
      <c r="C39" s="7">
        <f>D39+'11月'!C39</f>
        <v>48652</v>
      </c>
      <c r="D39" s="7">
        <f>SUM(E39:AI39)</f>
        <v>2811</v>
      </c>
      <c r="E39" s="7">
        <v>33</v>
      </c>
      <c r="F39" s="7">
        <v>0</v>
      </c>
      <c r="G39" s="7">
        <v>126</v>
      </c>
      <c r="H39" s="7">
        <v>14</v>
      </c>
      <c r="I39" s="7">
        <v>47</v>
      </c>
      <c r="J39" s="7">
        <v>55</v>
      </c>
      <c r="K39" s="7">
        <v>41</v>
      </c>
      <c r="L39" s="7">
        <v>0</v>
      </c>
      <c r="M39" s="7">
        <v>0</v>
      </c>
      <c r="N39" s="7">
        <v>65</v>
      </c>
      <c r="O39" s="7">
        <v>57</v>
      </c>
      <c r="P39" s="7">
        <v>122</v>
      </c>
      <c r="Q39" s="7">
        <v>52</v>
      </c>
      <c r="R39" s="7">
        <v>42</v>
      </c>
      <c r="S39" s="7">
        <v>56</v>
      </c>
      <c r="T39" s="7">
        <v>64</v>
      </c>
      <c r="U39" s="7">
        <v>70</v>
      </c>
      <c r="V39" s="7">
        <v>78</v>
      </c>
      <c r="W39" s="7">
        <v>162</v>
      </c>
      <c r="X39" s="7">
        <v>126</v>
      </c>
      <c r="Y39" s="7">
        <v>78</v>
      </c>
      <c r="Z39" s="7">
        <v>38</v>
      </c>
      <c r="AA39" s="7">
        <v>416</v>
      </c>
      <c r="AB39" s="7">
        <v>0</v>
      </c>
      <c r="AC39" s="7">
        <v>220</v>
      </c>
      <c r="AD39" s="7">
        <v>46</v>
      </c>
      <c r="AE39" s="7">
        <v>88</v>
      </c>
      <c r="AF39" s="7">
        <v>199</v>
      </c>
      <c r="AG39" s="7">
        <v>0</v>
      </c>
      <c r="AH39" s="7">
        <v>449</v>
      </c>
      <c r="AI39" s="7">
        <v>67</v>
      </c>
    </row>
    <row r="40" spans="1:35" s="3" customFormat="1" ht="24.95" customHeight="1">
      <c r="A40" s="60" t="s">
        <v>70</v>
      </c>
      <c r="B40" s="6" t="s">
        <v>71</v>
      </c>
      <c r="C40" s="7">
        <f>D40+'11月'!C40</f>
        <v>689.24900000000002</v>
      </c>
      <c r="D40" s="48">
        <f t="shared" ref="D40:D42" si="8">SUM(E40:AI40)</f>
        <v>38.160000000000004</v>
      </c>
      <c r="E40" s="49">
        <v>1.27</v>
      </c>
      <c r="F40" s="44">
        <v>1.33</v>
      </c>
      <c r="G40" s="44">
        <v>1.49</v>
      </c>
      <c r="H40" s="50">
        <v>1.02</v>
      </c>
      <c r="I40" s="44">
        <v>1.31</v>
      </c>
      <c r="J40" s="44">
        <v>1.22</v>
      </c>
      <c r="K40" s="44">
        <v>1.36</v>
      </c>
      <c r="L40" s="44">
        <v>1.32</v>
      </c>
      <c r="M40" s="44">
        <v>1.32</v>
      </c>
      <c r="N40" s="44">
        <v>1.49</v>
      </c>
      <c r="O40" s="44">
        <v>1.57</v>
      </c>
      <c r="P40" s="44">
        <v>1.46</v>
      </c>
      <c r="Q40" s="44">
        <v>1.41</v>
      </c>
      <c r="R40" s="44">
        <v>1.18</v>
      </c>
      <c r="S40" s="44">
        <v>1</v>
      </c>
      <c r="T40" s="44">
        <v>0.81</v>
      </c>
      <c r="U40" s="44">
        <v>0.77</v>
      </c>
      <c r="V40" s="44">
        <v>0.84</v>
      </c>
      <c r="W40" s="44">
        <v>1.1100000000000001</v>
      </c>
      <c r="X40" s="44">
        <v>1.1100000000000001</v>
      </c>
      <c r="Y40" s="44">
        <v>1.1000000000000001</v>
      </c>
      <c r="Z40" s="44">
        <v>1.3</v>
      </c>
      <c r="AA40" s="44">
        <v>1.03</v>
      </c>
      <c r="AB40" s="44">
        <v>1.1599999999999999</v>
      </c>
      <c r="AC40" s="44">
        <v>1.44</v>
      </c>
      <c r="AD40" s="44">
        <v>1.67</v>
      </c>
      <c r="AE40" s="44">
        <v>1.42</v>
      </c>
      <c r="AF40" s="44">
        <v>1.23</v>
      </c>
      <c r="AG40" s="44">
        <v>1.24</v>
      </c>
      <c r="AH40" s="44">
        <v>1.1100000000000001</v>
      </c>
      <c r="AI40" s="44">
        <v>1.07</v>
      </c>
    </row>
    <row r="41" spans="1:35" s="3" customFormat="1" ht="24.95" customHeight="1">
      <c r="A41" s="60"/>
      <c r="B41" s="6" t="s">
        <v>72</v>
      </c>
      <c r="C41" s="7">
        <f>D41+'11月'!C41</f>
        <v>3678.6600000000008</v>
      </c>
      <c r="D41" s="48">
        <f t="shared" si="8"/>
        <v>419.8300000000001</v>
      </c>
      <c r="E41" s="49">
        <v>13.7</v>
      </c>
      <c r="F41" s="44">
        <v>15.31</v>
      </c>
      <c r="G41" s="44">
        <v>13.53</v>
      </c>
      <c r="H41" s="44">
        <v>13.87</v>
      </c>
      <c r="I41" s="44">
        <v>13.16</v>
      </c>
      <c r="J41" s="44">
        <v>13.08</v>
      </c>
      <c r="K41" s="44">
        <v>13.19</v>
      </c>
      <c r="L41" s="44">
        <v>12.14</v>
      </c>
      <c r="M41" s="44">
        <v>12.65</v>
      </c>
      <c r="N41" s="44">
        <v>12.38</v>
      </c>
      <c r="O41" s="44">
        <v>13.65</v>
      </c>
      <c r="P41" s="44">
        <v>12.22</v>
      </c>
      <c r="Q41" s="44">
        <v>11.67</v>
      </c>
      <c r="R41" s="44">
        <v>14.8</v>
      </c>
      <c r="S41" s="44">
        <v>15.04</v>
      </c>
      <c r="T41" s="44">
        <v>13.89</v>
      </c>
      <c r="U41" s="44">
        <v>15.05</v>
      </c>
      <c r="V41" s="44">
        <v>14.42</v>
      </c>
      <c r="W41" s="44">
        <v>14.9</v>
      </c>
      <c r="X41" s="44">
        <v>15.14</v>
      </c>
      <c r="Y41" s="44">
        <v>12.37</v>
      </c>
      <c r="Z41" s="44">
        <v>13.16</v>
      </c>
      <c r="AA41" s="44">
        <v>14.57</v>
      </c>
      <c r="AB41" s="44">
        <v>13.68</v>
      </c>
      <c r="AC41" s="44">
        <v>15.06</v>
      </c>
      <c r="AD41" s="44">
        <v>13.35</v>
      </c>
      <c r="AE41" s="44">
        <v>12.23</v>
      </c>
      <c r="AF41" s="44">
        <v>12.05</v>
      </c>
      <c r="AG41" s="44">
        <v>14.5</v>
      </c>
      <c r="AH41" s="44">
        <v>12.41</v>
      </c>
      <c r="AI41" s="44">
        <v>12.66</v>
      </c>
    </row>
    <row r="42" spans="1:35" s="3" customFormat="1" ht="24.95" customHeight="1">
      <c r="A42" s="60"/>
      <c r="B42" s="6" t="s">
        <v>73</v>
      </c>
      <c r="C42" s="7">
        <f>D42+'11月'!C42</f>
        <v>233.07000000000002</v>
      </c>
      <c r="D42" s="48">
        <f t="shared" si="8"/>
        <v>23.52</v>
      </c>
      <c r="E42" s="49">
        <v>0.75</v>
      </c>
      <c r="F42" s="44">
        <v>0.74</v>
      </c>
      <c r="G42" s="44">
        <v>0.76</v>
      </c>
      <c r="H42" s="44">
        <v>0.77</v>
      </c>
      <c r="I42" s="44">
        <v>0.77</v>
      </c>
      <c r="J42" s="44">
        <v>0.77</v>
      </c>
      <c r="K42" s="44">
        <v>0.75</v>
      </c>
      <c r="L42" s="44">
        <v>0.71</v>
      </c>
      <c r="M42" s="44">
        <v>0.77</v>
      </c>
      <c r="N42" s="44">
        <v>0.74</v>
      </c>
      <c r="O42" s="44">
        <v>0.81</v>
      </c>
      <c r="P42" s="44">
        <v>0.82</v>
      </c>
      <c r="Q42" s="44">
        <v>0.79</v>
      </c>
      <c r="R42" s="44">
        <v>0.75</v>
      </c>
      <c r="S42" s="44">
        <v>0.73</v>
      </c>
      <c r="T42" s="44">
        <v>0.78</v>
      </c>
      <c r="U42" s="44">
        <v>0.77</v>
      </c>
      <c r="V42" s="44">
        <v>0.78</v>
      </c>
      <c r="W42" s="44">
        <v>0.78</v>
      </c>
      <c r="X42" s="44">
        <v>0.76</v>
      </c>
      <c r="Y42" s="44">
        <v>0.73</v>
      </c>
      <c r="Z42" s="44">
        <v>0.75</v>
      </c>
      <c r="AA42" s="44">
        <v>0.77</v>
      </c>
      <c r="AB42" s="44">
        <v>0.76</v>
      </c>
      <c r="AC42" s="44">
        <v>0.72</v>
      </c>
      <c r="AD42" s="44">
        <v>0.72</v>
      </c>
      <c r="AE42" s="44">
        <v>0.75</v>
      </c>
      <c r="AF42" s="44">
        <v>0.79</v>
      </c>
      <c r="AG42" s="44">
        <v>0.78</v>
      </c>
      <c r="AH42" s="44">
        <v>0.74</v>
      </c>
      <c r="AI42" s="44">
        <v>0.71</v>
      </c>
    </row>
    <row r="43" spans="1:35" s="1" customFormat="1" ht="18" customHeight="1">
      <c r="B43" s="20" t="s">
        <v>74</v>
      </c>
      <c r="C43" s="21">
        <f>C37/C5</f>
        <v>0.24699325862465291</v>
      </c>
      <c r="D43" s="21">
        <f>D37/D5</f>
        <v>0.26138551654177172</v>
      </c>
      <c r="G43" s="22"/>
    </row>
    <row r="44" spans="1:35" s="1" customFormat="1" ht="18" customHeight="1">
      <c r="B44" s="23" t="s">
        <v>75</v>
      </c>
      <c r="C44" s="24">
        <f>C38/C5</f>
        <v>2.2726675811935111E-2</v>
      </c>
      <c r="D44" s="24">
        <f>D38/D5</f>
        <v>2.1856299835291294E-2</v>
      </c>
      <c r="G44" s="22"/>
    </row>
    <row r="45" spans="1:35" s="1" customFormat="1" ht="18" customHeight="1">
      <c r="B45" s="23" t="s">
        <v>76</v>
      </c>
      <c r="C45" s="24">
        <f>C39/C5</f>
        <v>0.10288321258181418</v>
      </c>
      <c r="D45" s="24">
        <f>D39/D5</f>
        <v>6.1323996204064278E-2</v>
      </c>
      <c r="G45" s="22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</sheetData>
  <mergeCells count="10">
    <mergeCell ref="A16:A18"/>
    <mergeCell ref="A40:A42"/>
    <mergeCell ref="A1:B1"/>
    <mergeCell ref="C1:AI1"/>
    <mergeCell ref="A3:A5"/>
    <mergeCell ref="A6:A8"/>
    <mergeCell ref="A9:A12"/>
    <mergeCell ref="A13:A15"/>
    <mergeCell ref="A20:A36"/>
    <mergeCell ref="A37:A39"/>
  </mergeCells>
  <phoneticPr fontId="11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67"/>
  <sheetViews>
    <sheetView topLeftCell="A22" workbookViewId="0">
      <pane xSplit="4" topLeftCell="P1" activePane="topRight" state="frozen"/>
      <selection pane="topRight" activeCell="A19" sqref="A19:A35"/>
    </sheetView>
  </sheetViews>
  <sheetFormatPr defaultColWidth="9" defaultRowHeight="13.5"/>
  <cols>
    <col min="1" max="1" width="8.75" style="4" customWidth="1"/>
    <col min="2" max="2" width="13.625" style="4" customWidth="1"/>
    <col min="3" max="3" width="11.875" style="4" customWidth="1"/>
    <col min="4" max="4" width="10.5" style="4" customWidth="1"/>
    <col min="5" max="25" width="9" style="4" customWidth="1"/>
    <col min="26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7">
        <v>44228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'1月'!C3+D3</f>
        <v>32301.4</v>
      </c>
      <c r="D3" s="7">
        <f t="shared" ref="D3:D9" si="0">SUM(E3:AI3)</f>
        <v>17975.3</v>
      </c>
      <c r="E3" s="7">
        <v>639.79999999999995</v>
      </c>
      <c r="F3" s="7">
        <v>655</v>
      </c>
      <c r="G3" s="7">
        <v>633.1</v>
      </c>
      <c r="H3" s="7">
        <v>624.29999999999995</v>
      </c>
      <c r="I3" s="7">
        <v>678.7</v>
      </c>
      <c r="J3" s="7">
        <v>634.29999999999995</v>
      </c>
      <c r="K3" s="7">
        <v>646.4</v>
      </c>
      <c r="L3" s="7">
        <v>607.79999999999995</v>
      </c>
      <c r="M3" s="7">
        <v>630.4</v>
      </c>
      <c r="N3" s="7">
        <v>652.70000000000005</v>
      </c>
      <c r="O3" s="7">
        <v>686.2</v>
      </c>
      <c r="P3" s="7">
        <v>629.29999999999995</v>
      </c>
      <c r="Q3" s="7">
        <v>637.1</v>
      </c>
      <c r="R3" s="7">
        <v>613.5</v>
      </c>
      <c r="S3" s="7">
        <v>651.79999999999995</v>
      </c>
      <c r="T3" s="7">
        <v>658.2</v>
      </c>
      <c r="U3" s="7">
        <v>652.9</v>
      </c>
      <c r="V3" s="7">
        <v>629.1</v>
      </c>
      <c r="W3" s="7">
        <v>640.1</v>
      </c>
      <c r="X3" s="7">
        <v>733.3</v>
      </c>
      <c r="Y3" s="7">
        <v>632</v>
      </c>
      <c r="Z3" s="7">
        <v>624</v>
      </c>
      <c r="AA3" s="7">
        <v>588.79999999999995</v>
      </c>
      <c r="AB3" s="7">
        <v>584.5</v>
      </c>
      <c r="AC3" s="7">
        <v>670.2</v>
      </c>
      <c r="AD3" s="7">
        <v>676.6</v>
      </c>
      <c r="AE3" s="7">
        <v>638.4</v>
      </c>
      <c r="AF3" s="7">
        <v>626.79999999999995</v>
      </c>
      <c r="AG3" s="7"/>
      <c r="AH3" s="7"/>
      <c r="AI3" s="29"/>
    </row>
    <row r="4" spans="1:35" s="3" customFormat="1" ht="26.25" customHeight="1">
      <c r="A4" s="51"/>
      <c r="B4" s="7" t="s">
        <v>37</v>
      </c>
      <c r="C4" s="7">
        <f>'1月'!C4+D4</f>
        <v>33611.5</v>
      </c>
      <c r="D4" s="7">
        <f t="shared" si="0"/>
        <v>13269.900000000001</v>
      </c>
      <c r="E4" s="7">
        <v>639.6</v>
      </c>
      <c r="F4" s="7">
        <v>632.6</v>
      </c>
      <c r="G4" s="7">
        <v>676.8</v>
      </c>
      <c r="H4" s="7">
        <v>653.6</v>
      </c>
      <c r="I4" s="7">
        <v>679.6</v>
      </c>
      <c r="J4" s="7">
        <v>663.9</v>
      </c>
      <c r="K4" s="7">
        <v>634.79999999999995</v>
      </c>
      <c r="L4" s="7">
        <v>562.70000000000005</v>
      </c>
      <c r="M4" s="7">
        <v>587</v>
      </c>
      <c r="N4" s="7">
        <v>619.6</v>
      </c>
      <c r="O4" s="7">
        <v>630.29999999999995</v>
      </c>
      <c r="P4" s="7">
        <v>601</v>
      </c>
      <c r="Q4" s="7">
        <v>600.70000000000005</v>
      </c>
      <c r="R4" s="7">
        <v>578.79999999999995</v>
      </c>
      <c r="S4" s="7">
        <v>587.70000000000005</v>
      </c>
      <c r="T4" s="7">
        <v>625.9</v>
      </c>
      <c r="U4" s="7">
        <v>591.5</v>
      </c>
      <c r="V4" s="7">
        <v>598.29999999999995</v>
      </c>
      <c r="W4" s="7">
        <v>627.20000000000005</v>
      </c>
      <c r="X4" s="7">
        <v>661.5</v>
      </c>
      <c r="Y4" s="7">
        <v>612.1</v>
      </c>
      <c r="Z4" s="7">
        <v>204.7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29"/>
      <c r="AH4" s="7"/>
      <c r="AI4" s="7"/>
    </row>
    <row r="5" spans="1:35" s="3" customFormat="1" ht="24.95" customHeight="1">
      <c r="A5" s="51"/>
      <c r="B5" s="7" t="s">
        <v>38</v>
      </c>
      <c r="C5" s="7">
        <f>'1月'!C5+D5</f>
        <v>65912.899999999994</v>
      </c>
      <c r="D5" s="7">
        <f t="shared" si="0"/>
        <v>31245.199999999997</v>
      </c>
      <c r="E5" s="7">
        <f>SUM(E3:E4)</f>
        <v>1279.4000000000001</v>
      </c>
      <c r="F5" s="7">
        <f t="shared" ref="F5:AI5" si="1">SUM(F3:F4)</f>
        <v>1287.5999999999999</v>
      </c>
      <c r="G5" s="7">
        <f t="shared" si="1"/>
        <v>1309.9000000000001</v>
      </c>
      <c r="H5" s="7">
        <f t="shared" si="1"/>
        <v>1277.9000000000001</v>
      </c>
      <c r="I5" s="7">
        <f t="shared" si="1"/>
        <v>1358.3000000000002</v>
      </c>
      <c r="J5" s="7">
        <f t="shared" si="1"/>
        <v>1298.1999999999998</v>
      </c>
      <c r="K5" s="7">
        <f t="shared" si="1"/>
        <v>1281.1999999999998</v>
      </c>
      <c r="L5" s="7">
        <f t="shared" si="1"/>
        <v>1170.5</v>
      </c>
      <c r="M5" s="7">
        <f t="shared" si="1"/>
        <v>1217.4000000000001</v>
      </c>
      <c r="N5" s="7">
        <f t="shared" si="1"/>
        <v>1272.3000000000002</v>
      </c>
      <c r="O5" s="7">
        <f t="shared" si="1"/>
        <v>1316.5</v>
      </c>
      <c r="P5" s="7">
        <f t="shared" si="1"/>
        <v>1230.3</v>
      </c>
      <c r="Q5" s="7">
        <f t="shared" si="1"/>
        <v>1237.8000000000002</v>
      </c>
      <c r="R5" s="7">
        <f t="shared" si="1"/>
        <v>1192.3</v>
      </c>
      <c r="S5" s="7">
        <f t="shared" si="1"/>
        <v>1239.5</v>
      </c>
      <c r="T5" s="7">
        <f t="shared" si="1"/>
        <v>1284.0999999999999</v>
      </c>
      <c r="U5" s="7">
        <f t="shared" si="1"/>
        <v>1244.4000000000001</v>
      </c>
      <c r="V5" s="7">
        <f t="shared" si="1"/>
        <v>1227.4000000000001</v>
      </c>
      <c r="W5" s="7">
        <f t="shared" si="1"/>
        <v>1267.3000000000002</v>
      </c>
      <c r="X5" s="7">
        <f t="shared" si="1"/>
        <v>1394.8</v>
      </c>
      <c r="Y5" s="7">
        <f t="shared" si="1"/>
        <v>1244.0999999999999</v>
      </c>
      <c r="Z5" s="7">
        <f t="shared" si="1"/>
        <v>828.7</v>
      </c>
      <c r="AA5" s="7">
        <f t="shared" si="1"/>
        <v>588.79999999999995</v>
      </c>
      <c r="AB5" s="7">
        <f t="shared" si="1"/>
        <v>584.5</v>
      </c>
      <c r="AC5" s="7">
        <f t="shared" si="1"/>
        <v>670.2</v>
      </c>
      <c r="AD5" s="7">
        <f t="shared" si="1"/>
        <v>676.6</v>
      </c>
      <c r="AE5" s="7">
        <f t="shared" si="1"/>
        <v>638.4</v>
      </c>
      <c r="AF5" s="7">
        <f t="shared" si="1"/>
        <v>626.79999999999995</v>
      </c>
      <c r="AG5" s="7">
        <f t="shared" si="1"/>
        <v>0</v>
      </c>
      <c r="AH5" s="7">
        <f t="shared" si="1"/>
        <v>0</v>
      </c>
      <c r="AI5" s="7">
        <f t="shared" si="1"/>
        <v>0</v>
      </c>
    </row>
    <row r="6" spans="1:35" s="3" customFormat="1" ht="24.95" customHeight="1">
      <c r="A6" s="51" t="s">
        <v>39</v>
      </c>
      <c r="B6" s="7" t="s">
        <v>40</v>
      </c>
      <c r="C6" s="7">
        <f>'1月'!C6+D6</f>
        <v>14740000</v>
      </c>
      <c r="D6" s="7">
        <f t="shared" si="0"/>
        <v>6928000</v>
      </c>
      <c r="E6" s="7">
        <v>330000</v>
      </c>
      <c r="F6" s="7">
        <v>326000</v>
      </c>
      <c r="G6" s="7">
        <v>334000</v>
      </c>
      <c r="H6" s="7">
        <v>338000</v>
      </c>
      <c r="I6" s="7">
        <v>332000</v>
      </c>
      <c r="J6" s="7">
        <v>324000</v>
      </c>
      <c r="K6" s="7">
        <v>326000</v>
      </c>
      <c r="L6" s="7">
        <v>310000</v>
      </c>
      <c r="M6" s="7">
        <v>312000</v>
      </c>
      <c r="N6" s="7">
        <v>318000</v>
      </c>
      <c r="O6" s="7">
        <v>312000</v>
      </c>
      <c r="P6" s="26">
        <v>320000</v>
      </c>
      <c r="Q6" s="7">
        <v>316000</v>
      </c>
      <c r="R6" s="7">
        <v>326000</v>
      </c>
      <c r="S6" s="7">
        <v>320000</v>
      </c>
      <c r="T6" s="7">
        <v>314000</v>
      </c>
      <c r="U6" s="26">
        <v>312000</v>
      </c>
      <c r="V6" s="26">
        <v>312000</v>
      </c>
      <c r="W6" s="7">
        <v>316000</v>
      </c>
      <c r="X6" s="7">
        <v>316000</v>
      </c>
      <c r="Y6" s="7">
        <v>320000</v>
      </c>
      <c r="Z6" s="7">
        <v>170000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24000</v>
      </c>
      <c r="AG6" s="7"/>
      <c r="AH6" s="7"/>
      <c r="AI6" s="7"/>
    </row>
    <row r="7" spans="1:35" s="3" customFormat="1" ht="24.95" customHeight="1">
      <c r="A7" s="51"/>
      <c r="B7" s="7" t="s">
        <v>41</v>
      </c>
      <c r="C7" s="7">
        <f>'1月'!C7+D7</f>
        <v>20362000</v>
      </c>
      <c r="D7" s="27">
        <f t="shared" si="0"/>
        <v>9608000</v>
      </c>
      <c r="E7" s="7">
        <v>360000</v>
      </c>
      <c r="F7" s="7">
        <v>360000</v>
      </c>
      <c r="G7" s="7">
        <v>364000</v>
      </c>
      <c r="H7" s="7">
        <v>362000</v>
      </c>
      <c r="I7" s="7">
        <v>364000</v>
      </c>
      <c r="J7" s="7">
        <v>358000</v>
      </c>
      <c r="K7" s="7">
        <v>344000</v>
      </c>
      <c r="L7" s="7">
        <v>350000</v>
      </c>
      <c r="M7" s="7">
        <v>350000</v>
      </c>
      <c r="N7" s="7">
        <v>346000</v>
      </c>
      <c r="O7" s="7">
        <v>352000</v>
      </c>
      <c r="P7" s="26">
        <v>342000</v>
      </c>
      <c r="Q7" s="7">
        <v>344000</v>
      </c>
      <c r="R7" s="7">
        <v>332000</v>
      </c>
      <c r="S7" s="7">
        <v>342000</v>
      </c>
      <c r="T7" s="7">
        <v>346000</v>
      </c>
      <c r="U7" s="7">
        <v>348000</v>
      </c>
      <c r="V7" s="7">
        <v>352000</v>
      </c>
      <c r="W7" s="7">
        <v>342000</v>
      </c>
      <c r="X7" s="7">
        <v>342000</v>
      </c>
      <c r="Y7" s="7">
        <v>342000</v>
      </c>
      <c r="Z7" s="7">
        <v>348000</v>
      </c>
      <c r="AA7" s="7">
        <v>326000</v>
      </c>
      <c r="AB7" s="7">
        <v>324000</v>
      </c>
      <c r="AC7" s="7">
        <v>320000</v>
      </c>
      <c r="AD7" s="7">
        <v>324000</v>
      </c>
      <c r="AE7" s="7">
        <v>322000</v>
      </c>
      <c r="AF7" s="7">
        <v>302000</v>
      </c>
      <c r="AG7" s="7"/>
      <c r="AH7" s="7"/>
      <c r="AI7" s="26"/>
    </row>
    <row r="8" spans="1:35" s="3" customFormat="1" ht="24.95" customHeight="1">
      <c r="A8" s="51"/>
      <c r="B8" s="7" t="s">
        <v>38</v>
      </c>
      <c r="C8" s="7">
        <f>'1月'!C8+D8</f>
        <v>35102000</v>
      </c>
      <c r="D8" s="7">
        <f t="shared" si="0"/>
        <v>16536000</v>
      </c>
      <c r="E8" s="7">
        <f t="shared" ref="E8:AI8" si="2">SUM(E6:E7)</f>
        <v>690000</v>
      </c>
      <c r="F8" s="7">
        <f t="shared" si="2"/>
        <v>686000</v>
      </c>
      <c r="G8" s="7">
        <f t="shared" si="2"/>
        <v>698000</v>
      </c>
      <c r="H8" s="7">
        <f t="shared" si="2"/>
        <v>700000</v>
      </c>
      <c r="I8" s="7">
        <f t="shared" si="2"/>
        <v>696000</v>
      </c>
      <c r="J8" s="7">
        <f t="shared" si="2"/>
        <v>682000</v>
      </c>
      <c r="K8" s="7">
        <f t="shared" si="2"/>
        <v>670000</v>
      </c>
      <c r="L8" s="7">
        <f t="shared" si="2"/>
        <v>660000</v>
      </c>
      <c r="M8" s="7">
        <f t="shared" si="2"/>
        <v>662000</v>
      </c>
      <c r="N8" s="7">
        <f t="shared" si="2"/>
        <v>664000</v>
      </c>
      <c r="O8" s="7">
        <f t="shared" si="2"/>
        <v>664000</v>
      </c>
      <c r="P8" s="7">
        <f t="shared" si="2"/>
        <v>662000</v>
      </c>
      <c r="Q8" s="7">
        <f t="shared" si="2"/>
        <v>660000</v>
      </c>
      <c r="R8" s="7">
        <f t="shared" si="2"/>
        <v>658000</v>
      </c>
      <c r="S8" s="7">
        <f t="shared" si="2"/>
        <v>662000</v>
      </c>
      <c r="T8" s="7">
        <f t="shared" si="2"/>
        <v>660000</v>
      </c>
      <c r="U8" s="7">
        <f t="shared" si="2"/>
        <v>660000</v>
      </c>
      <c r="V8" s="7">
        <f t="shared" si="2"/>
        <v>664000</v>
      </c>
      <c r="W8" s="7">
        <f t="shared" si="2"/>
        <v>658000</v>
      </c>
      <c r="X8" s="7">
        <f t="shared" si="2"/>
        <v>658000</v>
      </c>
      <c r="Y8" s="7">
        <f t="shared" si="2"/>
        <v>662000</v>
      </c>
      <c r="Z8" s="7">
        <f t="shared" si="2"/>
        <v>518000</v>
      </c>
      <c r="AA8" s="7">
        <f t="shared" si="2"/>
        <v>326000</v>
      </c>
      <c r="AB8" s="7">
        <f t="shared" si="2"/>
        <v>324000</v>
      </c>
      <c r="AC8" s="7">
        <f t="shared" si="2"/>
        <v>320000</v>
      </c>
      <c r="AD8" s="7">
        <f t="shared" si="2"/>
        <v>324000</v>
      </c>
      <c r="AE8" s="7">
        <f t="shared" si="2"/>
        <v>322000</v>
      </c>
      <c r="AF8" s="7">
        <f t="shared" si="2"/>
        <v>326000</v>
      </c>
      <c r="AG8" s="7">
        <f t="shared" si="2"/>
        <v>0</v>
      </c>
      <c r="AH8" s="7">
        <f t="shared" si="2"/>
        <v>0</v>
      </c>
      <c r="AI8" s="7">
        <f t="shared" si="2"/>
        <v>0</v>
      </c>
    </row>
    <row r="9" spans="1:35" s="3" customFormat="1" ht="24.95" customHeight="1">
      <c r="A9" s="51" t="s">
        <v>42</v>
      </c>
      <c r="B9" s="7" t="s">
        <v>38</v>
      </c>
      <c r="C9" s="7">
        <f>'1月'!C9+D9</f>
        <v>30392000</v>
      </c>
      <c r="D9" s="7">
        <f t="shared" si="0"/>
        <v>14332000</v>
      </c>
      <c r="E9" s="7">
        <v>598000</v>
      </c>
      <c r="F9" s="7">
        <v>598000</v>
      </c>
      <c r="G9" s="7">
        <v>606000</v>
      </c>
      <c r="H9" s="7">
        <v>610000</v>
      </c>
      <c r="I9" s="7">
        <v>606000</v>
      </c>
      <c r="J9" s="7">
        <v>598000</v>
      </c>
      <c r="K9" s="7">
        <v>580000</v>
      </c>
      <c r="L9" s="7">
        <v>576000</v>
      </c>
      <c r="M9" s="7">
        <v>576000</v>
      </c>
      <c r="N9" s="7">
        <v>582000</v>
      </c>
      <c r="O9" s="7">
        <v>578000</v>
      </c>
      <c r="P9" s="7">
        <v>578000</v>
      </c>
      <c r="Q9" s="7">
        <v>578000</v>
      </c>
      <c r="R9" s="7">
        <v>572000</v>
      </c>
      <c r="S9" s="7">
        <v>576000</v>
      </c>
      <c r="T9" s="7">
        <v>574000</v>
      </c>
      <c r="U9" s="7">
        <v>576000</v>
      </c>
      <c r="V9" s="7">
        <v>580000</v>
      </c>
      <c r="W9" s="7">
        <v>570000</v>
      </c>
      <c r="X9" s="7">
        <v>574000</v>
      </c>
      <c r="Y9" s="7">
        <v>576000</v>
      </c>
      <c r="Z9" s="7">
        <v>446000</v>
      </c>
      <c r="AA9" s="7">
        <v>272000</v>
      </c>
      <c r="AB9" s="7">
        <v>268000</v>
      </c>
      <c r="AC9" s="7">
        <v>266000</v>
      </c>
      <c r="AD9" s="7">
        <v>272000</v>
      </c>
      <c r="AE9" s="7">
        <v>274000</v>
      </c>
      <c r="AF9" s="7">
        <v>272000</v>
      </c>
      <c r="AG9" s="7"/>
      <c r="AH9" s="7"/>
      <c r="AI9" s="7"/>
    </row>
    <row r="10" spans="1:35" s="3" customFormat="1" ht="24.95" customHeight="1">
      <c r="A10" s="51"/>
      <c r="B10" s="6" t="s">
        <v>43</v>
      </c>
      <c r="C10" s="8">
        <f>C8/C5</f>
        <v>532.55129117365493</v>
      </c>
      <c r="D10" s="8">
        <f>D8/D5</f>
        <v>529.23329023337988</v>
      </c>
      <c r="E10" s="8">
        <f t="shared" ref="E10:AI10" si="3">SUM(E8/E5)</f>
        <v>539.31530404877287</v>
      </c>
      <c r="F10" s="8">
        <f t="shared" si="3"/>
        <v>532.77415346380872</v>
      </c>
      <c r="G10" s="8">
        <f t="shared" si="3"/>
        <v>532.86510420642799</v>
      </c>
      <c r="H10" s="8">
        <f t="shared" si="3"/>
        <v>547.77369121214485</v>
      </c>
      <c r="I10" s="8">
        <f t="shared" si="3"/>
        <v>512.40521239785016</v>
      </c>
      <c r="J10" s="8">
        <f t="shared" si="3"/>
        <v>525.34278231397332</v>
      </c>
      <c r="K10" s="8">
        <f t="shared" si="3"/>
        <v>522.94723696534504</v>
      </c>
      <c r="L10" s="8">
        <f t="shared" si="3"/>
        <v>563.86159760785984</v>
      </c>
      <c r="M10" s="8">
        <f t="shared" si="3"/>
        <v>543.78183012978479</v>
      </c>
      <c r="N10" s="8">
        <f t="shared" si="3"/>
        <v>521.88949147213702</v>
      </c>
      <c r="O10" s="8">
        <f t="shared" si="3"/>
        <v>504.36764147360424</v>
      </c>
      <c r="P10" s="8">
        <f t="shared" si="3"/>
        <v>538.08014305453958</v>
      </c>
      <c r="Q10" s="8">
        <f t="shared" si="3"/>
        <v>533.20407174018408</v>
      </c>
      <c r="R10" s="8">
        <f t="shared" si="3"/>
        <v>551.87452822276271</v>
      </c>
      <c r="S10" s="8">
        <f t="shared" si="3"/>
        <v>534.08632513110126</v>
      </c>
      <c r="T10" s="8">
        <f t="shared" si="3"/>
        <v>513.97866209796746</v>
      </c>
      <c r="U10" s="8">
        <f t="shared" si="3"/>
        <v>530.37608486017359</v>
      </c>
      <c r="V10" s="8">
        <f t="shared" si="3"/>
        <v>540.98093531041218</v>
      </c>
      <c r="W10" s="8">
        <f t="shared" si="3"/>
        <v>519.21407717194029</v>
      </c>
      <c r="X10" s="8">
        <f t="shared" si="3"/>
        <v>471.75222254086611</v>
      </c>
      <c r="Y10" s="8">
        <f t="shared" si="3"/>
        <v>532.11156659432527</v>
      </c>
      <c r="Z10" s="8">
        <f t="shared" si="3"/>
        <v>625.07541933148298</v>
      </c>
      <c r="AA10" s="8">
        <f t="shared" si="3"/>
        <v>553.66847826086962</v>
      </c>
      <c r="AB10" s="8">
        <f t="shared" si="3"/>
        <v>554.31993156544058</v>
      </c>
      <c r="AC10" s="8">
        <f t="shared" si="3"/>
        <v>477.46941211578633</v>
      </c>
      <c r="AD10" s="8">
        <f t="shared" si="3"/>
        <v>478.86491279929055</v>
      </c>
      <c r="AE10" s="8">
        <f t="shared" si="3"/>
        <v>504.38596491228071</v>
      </c>
      <c r="AF10" s="8">
        <f t="shared" si="3"/>
        <v>520.10210593490751</v>
      </c>
      <c r="AG10" s="8" t="e">
        <f t="shared" si="3"/>
        <v>#DIV/0!</v>
      </c>
      <c r="AH10" s="8" t="e">
        <f t="shared" si="3"/>
        <v>#DIV/0!</v>
      </c>
      <c r="AI10" s="8" t="e">
        <f t="shared" si="3"/>
        <v>#DIV/0!</v>
      </c>
    </row>
    <row r="11" spans="1:35" s="3" customFormat="1" ht="24.95" customHeight="1">
      <c r="A11" s="51"/>
      <c r="B11" s="9" t="s">
        <v>44</v>
      </c>
      <c r="C11" s="8">
        <f>(C8-C16)/C5</f>
        <v>461.0630089102437</v>
      </c>
      <c r="D11" s="8">
        <f>(D8-D16)/D5</f>
        <v>458.63044563644979</v>
      </c>
      <c r="E11" s="8">
        <f>SUM(E9/E5)</f>
        <v>467.40659684226978</v>
      </c>
      <c r="F11" s="8">
        <f>SUM(F9/F5)</f>
        <v>464.42994718856789</v>
      </c>
      <c r="G11" s="8">
        <f>SUM(G9/G5)</f>
        <v>462.63073517062367</v>
      </c>
      <c r="H11" s="8">
        <f>SUM(H9/H5)</f>
        <v>477.34564519915483</v>
      </c>
      <c r="I11" s="8">
        <f>SUM(I9/I5)</f>
        <v>446.1459176912316</v>
      </c>
      <c r="J11" s="8">
        <f>SUM(J9/J5)</f>
        <v>460.63780619319061</v>
      </c>
      <c r="K11" s="8">
        <f>SUM(K9/K5)</f>
        <v>452.70059319388082</v>
      </c>
      <c r="L11" s="8">
        <f>SUM(L9/L5)</f>
        <v>492.09739427595042</v>
      </c>
      <c r="M11" s="8">
        <f>SUM(M9/M5)</f>
        <v>473.13947757516013</v>
      </c>
      <c r="N11" s="8">
        <f>SUM(N9/N5)</f>
        <v>457.43928318792729</v>
      </c>
      <c r="O11" s="8">
        <f>SUM(O9/O5)</f>
        <v>439.04291682491453</v>
      </c>
      <c r="P11" s="8">
        <f>SUM(P9/P5)</f>
        <v>469.8041128180119</v>
      </c>
      <c r="Q11" s="8">
        <f>SUM(Q9/Q5)</f>
        <v>466.95750525125214</v>
      </c>
      <c r="R11" s="8">
        <f>SUM(R9/R5)</f>
        <v>479.74503061310077</v>
      </c>
      <c r="S11" s="8">
        <f>SUM(S9/S5)</f>
        <v>464.70350947962891</v>
      </c>
      <c r="T11" s="8">
        <f>SUM(T9/T5)</f>
        <v>447.00568491550507</v>
      </c>
      <c r="U11" s="8">
        <f>SUM(U9/U5)</f>
        <v>462.87367405978779</v>
      </c>
      <c r="V11" s="8">
        <f>SUM(V9/V5)</f>
        <v>472.54358807234803</v>
      </c>
      <c r="W11" s="8">
        <f>SUM(W9/W5)</f>
        <v>449.77511244377803</v>
      </c>
      <c r="X11" s="8">
        <f>SUM(X9/X5)</f>
        <v>411.52853455692576</v>
      </c>
      <c r="Y11" s="8">
        <f>SUM(Y9/Y5)</f>
        <v>462.9852905714975</v>
      </c>
      <c r="Z11" s="8">
        <f>SUM(Z9/Z5)</f>
        <v>538.19234946301435</v>
      </c>
      <c r="AA11" s="8">
        <f>SUM(AA9/AA5)</f>
        <v>461.95652173913049</v>
      </c>
      <c r="AB11" s="8">
        <f>SUM(AB9/AB5)</f>
        <v>458.51154833190759</v>
      </c>
      <c r="AC11" s="8">
        <f>SUM(AC9/AC5)</f>
        <v>396.89644882124736</v>
      </c>
      <c r="AD11" s="8">
        <f>SUM(AD9/AD5)</f>
        <v>402.01005025125625</v>
      </c>
      <c r="AE11" s="8">
        <f>SUM(AE9/AE5)</f>
        <v>429.19799498746869</v>
      </c>
      <c r="AF11" s="8">
        <f>SUM(AF9/AF5)</f>
        <v>433.95022335673264</v>
      </c>
      <c r="AG11" s="8" t="e">
        <f>SUM(AG9/AG5)</f>
        <v>#DIV/0!</v>
      </c>
      <c r="AH11" s="8" t="e">
        <f>SUM(AH9/AH5)</f>
        <v>#DIV/0!</v>
      </c>
      <c r="AI11" s="8" t="e">
        <f>SUM(AI9/AI5)</f>
        <v>#DIV/0!</v>
      </c>
    </row>
    <row r="12" spans="1:35" s="3" customFormat="1" ht="24.95" customHeight="1">
      <c r="A12" s="51"/>
      <c r="B12" s="6" t="s">
        <v>45</v>
      </c>
      <c r="C12" s="8">
        <f>'1月'!C12+D12</f>
        <v>70473.076000000001</v>
      </c>
      <c r="D12" s="8">
        <f t="shared" ref="D12:D16" si="4">SUM(E12:AI12)</f>
        <v>31798.435999999998</v>
      </c>
      <c r="E12" s="7">
        <v>1583.4</v>
      </c>
      <c r="F12" s="7">
        <v>1623.86</v>
      </c>
      <c r="G12" s="7">
        <v>1664</v>
      </c>
      <c r="H12" s="7">
        <v>1412</v>
      </c>
      <c r="I12" s="7">
        <v>1471.02</v>
      </c>
      <c r="J12" s="7">
        <v>1476.06</v>
      </c>
      <c r="K12" s="7">
        <v>1321.68</v>
      </c>
      <c r="L12" s="7">
        <v>1303.94</v>
      </c>
      <c r="M12" s="7">
        <v>1336.06</v>
      </c>
      <c r="N12" s="7">
        <v>1329.22</v>
      </c>
      <c r="O12" s="7">
        <v>1232</v>
      </c>
      <c r="P12" s="7">
        <v>922.8</v>
      </c>
      <c r="Q12" s="7">
        <v>775.22</v>
      </c>
      <c r="R12" s="7">
        <v>982.68</v>
      </c>
      <c r="S12" s="7">
        <v>819.6</v>
      </c>
      <c r="T12" s="7">
        <v>809.46</v>
      </c>
      <c r="U12" s="7">
        <v>871.55600000000004</v>
      </c>
      <c r="V12" s="7">
        <v>893.14</v>
      </c>
      <c r="W12" s="7">
        <v>928.42</v>
      </c>
      <c r="X12" s="7">
        <v>996.06</v>
      </c>
      <c r="Y12" s="7">
        <v>1089.26</v>
      </c>
      <c r="Z12" s="7">
        <v>1324.82</v>
      </c>
      <c r="AA12" s="7">
        <v>1236.46</v>
      </c>
      <c r="AB12" s="7">
        <v>810.72</v>
      </c>
      <c r="AC12" s="7">
        <v>773.04</v>
      </c>
      <c r="AD12" s="12">
        <v>788.52</v>
      </c>
      <c r="AE12" s="12">
        <v>798.8</v>
      </c>
      <c r="AF12" s="7">
        <v>1224.6400000000001</v>
      </c>
      <c r="AG12" s="7"/>
      <c r="AH12" s="7"/>
      <c r="AI12" s="7"/>
    </row>
    <row r="13" spans="1:35" s="3" customFormat="1" ht="24.95" customHeight="1">
      <c r="A13" s="52" t="s">
        <v>46</v>
      </c>
      <c r="B13" s="6" t="s">
        <v>36</v>
      </c>
      <c r="C13" s="8">
        <f>'1月'!C13+D13</f>
        <v>78471</v>
      </c>
      <c r="D13" s="10">
        <f t="shared" si="4"/>
        <v>42909</v>
      </c>
      <c r="E13" s="7">
        <v>1583</v>
      </c>
      <c r="F13" s="7">
        <v>1556</v>
      </c>
      <c r="G13" s="7">
        <v>1567</v>
      </c>
      <c r="H13" s="7">
        <v>1577</v>
      </c>
      <c r="I13" s="7">
        <v>1569</v>
      </c>
      <c r="J13" s="7">
        <v>1551</v>
      </c>
      <c r="K13" s="7">
        <v>1555</v>
      </c>
      <c r="L13" s="7">
        <v>1548</v>
      </c>
      <c r="M13" s="27">
        <v>1550</v>
      </c>
      <c r="N13" s="7">
        <v>1564</v>
      </c>
      <c r="O13" s="7">
        <v>1547</v>
      </c>
      <c r="P13" s="27">
        <v>1541</v>
      </c>
      <c r="Q13" s="7">
        <v>1564</v>
      </c>
      <c r="R13" s="7">
        <v>1545</v>
      </c>
      <c r="S13" s="7">
        <v>1547</v>
      </c>
      <c r="T13" s="7">
        <v>1548</v>
      </c>
      <c r="U13" s="7">
        <v>1545</v>
      </c>
      <c r="V13" s="7">
        <v>1555</v>
      </c>
      <c r="W13" s="7">
        <v>1550</v>
      </c>
      <c r="X13" s="7">
        <v>1551</v>
      </c>
      <c r="Y13" s="7">
        <v>1557</v>
      </c>
      <c r="Z13" s="7">
        <v>1550</v>
      </c>
      <c r="AA13" s="7">
        <v>1481</v>
      </c>
      <c r="AB13" s="7">
        <v>1461</v>
      </c>
      <c r="AC13" s="7">
        <v>1440</v>
      </c>
      <c r="AD13" s="7">
        <v>1430</v>
      </c>
      <c r="AE13" s="7">
        <v>1439</v>
      </c>
      <c r="AF13" s="7">
        <v>1438</v>
      </c>
      <c r="AG13" s="7"/>
      <c r="AH13" s="7"/>
      <c r="AI13" s="7"/>
    </row>
    <row r="14" spans="1:35" s="3" customFormat="1" ht="24.95" customHeight="1">
      <c r="A14" s="55"/>
      <c r="B14" s="6" t="s">
        <v>37</v>
      </c>
      <c r="C14" s="8">
        <f>'1月'!C14+D14</f>
        <v>80618</v>
      </c>
      <c r="D14" s="10">
        <f t="shared" si="4"/>
        <v>31726</v>
      </c>
      <c r="E14" s="7">
        <v>1562</v>
      </c>
      <c r="F14" s="7">
        <v>1539</v>
      </c>
      <c r="G14" s="7">
        <v>1564</v>
      </c>
      <c r="H14" s="7">
        <v>1550</v>
      </c>
      <c r="I14" s="7">
        <v>1558</v>
      </c>
      <c r="J14" s="7">
        <v>1549</v>
      </c>
      <c r="K14" s="7">
        <v>1468</v>
      </c>
      <c r="L14" s="7">
        <v>1436</v>
      </c>
      <c r="M14" s="27">
        <v>1432</v>
      </c>
      <c r="N14" s="7">
        <v>1447</v>
      </c>
      <c r="O14" s="7">
        <v>1432</v>
      </c>
      <c r="P14" s="27">
        <v>1435</v>
      </c>
      <c r="Q14" s="7">
        <v>1385</v>
      </c>
      <c r="R14" s="7">
        <v>1425</v>
      </c>
      <c r="S14" s="7">
        <v>1429</v>
      </c>
      <c r="T14" s="7">
        <v>1437</v>
      </c>
      <c r="U14" s="7">
        <v>1439</v>
      </c>
      <c r="V14" s="7">
        <v>1431</v>
      </c>
      <c r="W14" s="7">
        <v>1439</v>
      </c>
      <c r="X14" s="7">
        <v>1437</v>
      </c>
      <c r="Y14" s="7">
        <v>1435</v>
      </c>
      <c r="Z14" s="7">
        <v>808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89</v>
      </c>
      <c r="AG14" s="7"/>
      <c r="AH14" s="7"/>
      <c r="AI14" s="7"/>
    </row>
    <row r="15" spans="1:35" s="3" customFormat="1" ht="24" customHeight="1">
      <c r="A15" s="56"/>
      <c r="B15" s="7" t="s">
        <v>38</v>
      </c>
      <c r="C15" s="8">
        <f>'1月'!C15+D15</f>
        <v>159089</v>
      </c>
      <c r="D15" s="7">
        <f t="shared" si="4"/>
        <v>74635</v>
      </c>
      <c r="E15" s="7">
        <f>SUM(E13:E14)</f>
        <v>3145</v>
      </c>
      <c r="F15" s="7">
        <f>SUM(F13:F14)</f>
        <v>3095</v>
      </c>
      <c r="G15" s="7">
        <f t="shared" ref="G15:AI15" si="5">SUM(G13:G14)</f>
        <v>3131</v>
      </c>
      <c r="H15" s="7">
        <f t="shared" si="5"/>
        <v>3127</v>
      </c>
      <c r="I15" s="7">
        <f t="shared" si="5"/>
        <v>3127</v>
      </c>
      <c r="J15" s="7">
        <f t="shared" si="5"/>
        <v>3100</v>
      </c>
      <c r="K15" s="7">
        <f t="shared" si="5"/>
        <v>3023</v>
      </c>
      <c r="L15" s="7">
        <f t="shared" si="5"/>
        <v>2984</v>
      </c>
      <c r="M15" s="7">
        <f t="shared" si="5"/>
        <v>2982</v>
      </c>
      <c r="N15" s="7">
        <f t="shared" si="5"/>
        <v>3011</v>
      </c>
      <c r="O15" s="7">
        <f t="shared" si="5"/>
        <v>2979</v>
      </c>
      <c r="P15" s="7">
        <f t="shared" si="5"/>
        <v>2976</v>
      </c>
      <c r="Q15" s="7">
        <f t="shared" si="5"/>
        <v>2949</v>
      </c>
      <c r="R15" s="7">
        <f t="shared" si="5"/>
        <v>2970</v>
      </c>
      <c r="S15" s="7">
        <f t="shared" si="5"/>
        <v>2976</v>
      </c>
      <c r="T15" s="7">
        <f t="shared" si="5"/>
        <v>2985</v>
      </c>
      <c r="U15" s="7">
        <f t="shared" si="5"/>
        <v>2984</v>
      </c>
      <c r="V15" s="7">
        <f t="shared" si="5"/>
        <v>2986</v>
      </c>
      <c r="W15" s="7">
        <f t="shared" si="5"/>
        <v>2989</v>
      </c>
      <c r="X15" s="7">
        <f t="shared" si="5"/>
        <v>2988</v>
      </c>
      <c r="Y15" s="7">
        <f t="shared" si="5"/>
        <v>2992</v>
      </c>
      <c r="Z15" s="7">
        <f t="shared" si="5"/>
        <v>2358</v>
      </c>
      <c r="AA15" s="7">
        <f t="shared" si="5"/>
        <v>1481</v>
      </c>
      <c r="AB15" s="7">
        <f t="shared" si="5"/>
        <v>1461</v>
      </c>
      <c r="AC15" s="7">
        <f t="shared" si="5"/>
        <v>1440</v>
      </c>
      <c r="AD15" s="7">
        <f t="shared" si="5"/>
        <v>1430</v>
      </c>
      <c r="AE15" s="7">
        <f t="shared" si="5"/>
        <v>1439</v>
      </c>
      <c r="AF15" s="7">
        <f t="shared" si="5"/>
        <v>1527</v>
      </c>
      <c r="AG15" s="7">
        <f t="shared" si="5"/>
        <v>0</v>
      </c>
      <c r="AH15" s="7">
        <f t="shared" si="5"/>
        <v>0</v>
      </c>
      <c r="AI15" s="7">
        <f t="shared" si="5"/>
        <v>0</v>
      </c>
    </row>
    <row r="16" spans="1:35" s="3" customFormat="1" ht="24.95" customHeight="1">
      <c r="A16" s="51" t="s">
        <v>47</v>
      </c>
      <c r="B16" s="7" t="s">
        <v>38</v>
      </c>
      <c r="C16" s="8">
        <f>'1月'!C16+D16</f>
        <v>4712000</v>
      </c>
      <c r="D16" s="7">
        <f t="shared" si="4"/>
        <v>2206000</v>
      </c>
      <c r="E16" s="7">
        <v>92000</v>
      </c>
      <c r="F16" s="7">
        <v>88000</v>
      </c>
      <c r="G16" s="7">
        <v>92000</v>
      </c>
      <c r="H16" s="7">
        <v>90000</v>
      </c>
      <c r="I16" s="7">
        <v>90000</v>
      </c>
      <c r="J16" s="7">
        <v>84000</v>
      </c>
      <c r="K16" s="7">
        <v>90000</v>
      </c>
      <c r="L16" s="7">
        <v>84000</v>
      </c>
      <c r="M16" s="7">
        <v>86000</v>
      </c>
      <c r="N16" s="7">
        <v>82000</v>
      </c>
      <c r="O16" s="7">
        <v>86000</v>
      </c>
      <c r="P16" s="7">
        <v>84000</v>
      </c>
      <c r="Q16" s="7">
        <v>82000</v>
      </c>
      <c r="R16" s="7">
        <v>86000</v>
      </c>
      <c r="S16" s="7">
        <v>86000</v>
      </c>
      <c r="T16" s="7">
        <v>86000</v>
      </c>
      <c r="U16" s="7">
        <v>84000</v>
      </c>
      <c r="V16" s="7">
        <v>84000</v>
      </c>
      <c r="W16" s="7">
        <v>88000</v>
      </c>
      <c r="X16" s="7">
        <v>84000</v>
      </c>
      <c r="Y16" s="7">
        <v>86000</v>
      </c>
      <c r="Z16" s="7">
        <v>74000</v>
      </c>
      <c r="AA16" s="7">
        <v>54000</v>
      </c>
      <c r="AB16" s="7">
        <v>56000</v>
      </c>
      <c r="AC16" s="7">
        <v>54000</v>
      </c>
      <c r="AD16" s="7">
        <v>52000</v>
      </c>
      <c r="AE16" s="7">
        <v>48000</v>
      </c>
      <c r="AF16" s="7">
        <v>54000</v>
      </c>
      <c r="AG16" s="7"/>
      <c r="AH16" s="7"/>
      <c r="AI16" s="7"/>
    </row>
    <row r="17" spans="1:35" s="3" customFormat="1" ht="24.95" customHeight="1">
      <c r="A17" s="51"/>
      <c r="B17" s="6" t="s">
        <v>48</v>
      </c>
      <c r="C17" s="11">
        <f>SUM(C16/C8)</f>
        <v>0.13423736539228534</v>
      </c>
      <c r="D17" s="11">
        <f>SUM(D16/D8)</f>
        <v>0.13340590227382682</v>
      </c>
      <c r="E17" s="11">
        <f>SUM(E16/E8)</f>
        <v>0.13333333333333333</v>
      </c>
      <c r="F17" s="11">
        <f>SUM(F16/F8)</f>
        <v>0.1282798833819242</v>
      </c>
      <c r="G17" s="11">
        <f>SUM(G16/G8)</f>
        <v>0.1318051575931232</v>
      </c>
      <c r="H17" s="11">
        <f>SUM(H16/H8)</f>
        <v>0.12857142857142856</v>
      </c>
      <c r="I17" s="11">
        <f>SUM(I16/I8)</f>
        <v>0.12931034482758622</v>
      </c>
      <c r="J17" s="11">
        <f>SUM(J16/J8)</f>
        <v>0.12316715542521994</v>
      </c>
      <c r="K17" s="11">
        <f>SUM(K16/K8)</f>
        <v>0.13432835820895522</v>
      </c>
      <c r="L17" s="11">
        <f>SUM(L16/L8)</f>
        <v>0.12727272727272726</v>
      </c>
      <c r="M17" s="11">
        <f>SUM(M16/M8)</f>
        <v>0.12990936555891239</v>
      </c>
      <c r="N17" s="11">
        <f>SUM(N16/N8)</f>
        <v>0.12349397590361445</v>
      </c>
      <c r="O17" s="11">
        <f>SUM(O16/O8)</f>
        <v>0.12951807228915663</v>
      </c>
      <c r="P17" s="11">
        <f>SUM(P16/P8)</f>
        <v>0.12688821752265861</v>
      </c>
      <c r="Q17" s="11">
        <f>SUM(Q16/Q8)</f>
        <v>0.12424242424242424</v>
      </c>
      <c r="R17" s="11">
        <f>SUM(R16/R8)</f>
        <v>0.13069908814589665</v>
      </c>
      <c r="S17" s="11">
        <f>SUM(S16/S8)</f>
        <v>0.12990936555891239</v>
      </c>
      <c r="T17" s="11">
        <f>SUM(T16/T8)</f>
        <v>0.13030303030303031</v>
      </c>
      <c r="U17" s="11">
        <f>SUM(U16/U8)</f>
        <v>0.12727272727272726</v>
      </c>
      <c r="V17" s="11">
        <f>SUM(V16/V8)</f>
        <v>0.12650602409638553</v>
      </c>
      <c r="W17" s="11">
        <f>SUM(W16/W8)</f>
        <v>0.1337386018237082</v>
      </c>
      <c r="X17" s="11">
        <f>SUM(X16/X8)</f>
        <v>0.1276595744680851</v>
      </c>
      <c r="Y17" s="11">
        <f>SUM(Y16/Y8)</f>
        <v>0.12990936555891239</v>
      </c>
      <c r="Z17" s="11">
        <f>SUM(Z16/Z8)</f>
        <v>0.14285714285714285</v>
      </c>
      <c r="AA17" s="11">
        <f>SUM(AA16/AA8)</f>
        <v>0.16564417177914109</v>
      </c>
      <c r="AB17" s="11">
        <f>SUM(AB16/AB8)</f>
        <v>0.1728395061728395</v>
      </c>
      <c r="AC17" s="11">
        <f>SUM(AC16/AC8)</f>
        <v>0.16875000000000001</v>
      </c>
      <c r="AD17" s="11">
        <f>SUM(AD16/AD8)</f>
        <v>0.16049382716049382</v>
      </c>
      <c r="AE17" s="11">
        <f>SUM(AE16/AE8)</f>
        <v>0.14906832298136646</v>
      </c>
      <c r="AF17" s="11">
        <f>SUM(AF16/AF8)</f>
        <v>0.16564417177914109</v>
      </c>
      <c r="AG17" s="11" t="e">
        <f>SUM(AG16/AG8)</f>
        <v>#DIV/0!</v>
      </c>
      <c r="AH17" s="11" t="e">
        <f>SUM(AH16/AH8)</f>
        <v>#DIV/0!</v>
      </c>
      <c r="AI17" s="11" t="e">
        <f>SUM(AI16/AI8)</f>
        <v>#DIV/0!</v>
      </c>
    </row>
    <row r="18" spans="1:35" s="3" customFormat="1" ht="24.95" customHeight="1">
      <c r="A18" s="13"/>
      <c r="B18" s="13" t="s">
        <v>49</v>
      </c>
      <c r="C18" s="13"/>
      <c r="D18" s="7">
        <f t="shared" ref="D18" si="6">COUNT(E18:AI18)</f>
        <v>28</v>
      </c>
      <c r="E18" s="14">
        <v>15600</v>
      </c>
      <c r="F18" s="14">
        <v>15800</v>
      </c>
      <c r="G18" s="14">
        <v>16100</v>
      </c>
      <c r="H18" s="14">
        <v>16100</v>
      </c>
      <c r="I18" s="14">
        <v>16200</v>
      </c>
      <c r="J18" s="7">
        <v>16300</v>
      </c>
      <c r="K18" s="14">
        <v>15100</v>
      </c>
      <c r="L18" s="7">
        <v>15200</v>
      </c>
      <c r="M18" s="7">
        <v>15300</v>
      </c>
      <c r="N18" s="7">
        <v>15300</v>
      </c>
      <c r="O18" s="7">
        <v>15200</v>
      </c>
      <c r="P18" s="7">
        <v>14800</v>
      </c>
      <c r="Q18" s="7">
        <v>14300</v>
      </c>
      <c r="R18" s="7">
        <v>14000</v>
      </c>
      <c r="S18" s="7">
        <v>13500</v>
      </c>
      <c r="T18" s="7">
        <v>13000</v>
      </c>
      <c r="U18" s="7">
        <v>12500</v>
      </c>
      <c r="V18" s="7">
        <v>12000</v>
      </c>
      <c r="W18" s="7">
        <v>11600</v>
      </c>
      <c r="X18" s="7">
        <v>10900</v>
      </c>
      <c r="Y18" s="7">
        <v>10600</v>
      </c>
      <c r="Z18" s="7">
        <v>11000</v>
      </c>
      <c r="AA18" s="7">
        <v>11300</v>
      </c>
      <c r="AB18" s="7">
        <v>11400</v>
      </c>
      <c r="AC18" s="7">
        <v>11300</v>
      </c>
      <c r="AD18" s="7">
        <v>11300</v>
      </c>
      <c r="AE18" s="7">
        <v>11400</v>
      </c>
      <c r="AF18" s="7">
        <v>11800</v>
      </c>
      <c r="AG18" s="7"/>
      <c r="AH18" s="7"/>
      <c r="AI18" s="7"/>
    </row>
    <row r="19" spans="1:35" s="3" customFormat="1" ht="24.95" customHeight="1">
      <c r="A19" s="62" t="s">
        <v>50</v>
      </c>
      <c r="B19" s="13" t="s">
        <v>51</v>
      </c>
      <c r="C19" s="7">
        <f>'1月'!C19+D19</f>
        <v>13952.060000000001</v>
      </c>
      <c r="D19" s="7">
        <f t="shared" ref="D19:D32" si="7">SUM(E19:AI19)</f>
        <v>6491.2400000000016</v>
      </c>
      <c r="E19" s="7">
        <v>281.42</v>
      </c>
      <c r="F19" s="15">
        <v>338.32</v>
      </c>
      <c r="G19" s="15">
        <v>299.2</v>
      </c>
      <c r="H19" s="15">
        <v>317.7</v>
      </c>
      <c r="I19" s="15">
        <v>327.60000000000002</v>
      </c>
      <c r="J19" s="15">
        <v>320.76</v>
      </c>
      <c r="K19" s="15">
        <v>239.42</v>
      </c>
      <c r="L19" s="15">
        <v>277.10000000000002</v>
      </c>
      <c r="M19" s="15">
        <v>219.32</v>
      </c>
      <c r="N19" s="15">
        <v>245.04</v>
      </c>
      <c r="O19" s="15">
        <v>235.82</v>
      </c>
      <c r="P19" s="15">
        <v>123.18</v>
      </c>
      <c r="Q19" s="15">
        <v>175.7</v>
      </c>
      <c r="R19" s="17">
        <v>190.4</v>
      </c>
      <c r="S19" s="15">
        <v>190.4</v>
      </c>
      <c r="T19" s="15">
        <v>137.06</v>
      </c>
      <c r="U19" s="15">
        <v>156.22</v>
      </c>
      <c r="V19" s="15">
        <v>135.34</v>
      </c>
      <c r="W19" s="15">
        <v>144.96</v>
      </c>
      <c r="X19" s="15">
        <v>180.5</v>
      </c>
      <c r="Y19" s="15">
        <v>182.1</v>
      </c>
      <c r="Z19" s="15">
        <v>209.6</v>
      </c>
      <c r="AA19" s="15">
        <v>239.2</v>
      </c>
      <c r="AB19" s="15">
        <v>249.14</v>
      </c>
      <c r="AC19" s="15">
        <v>272.2</v>
      </c>
      <c r="AD19" s="15">
        <v>259.33999999999997</v>
      </c>
      <c r="AE19" s="15">
        <v>304.18</v>
      </c>
      <c r="AF19" s="15">
        <v>240.02</v>
      </c>
      <c r="AG19" s="15"/>
      <c r="AH19" s="15"/>
      <c r="AI19" s="15"/>
    </row>
    <row r="20" spans="1:35" s="3" customFormat="1" ht="24.95" customHeight="1">
      <c r="A20" s="63"/>
      <c r="B20" s="16" t="s">
        <v>52</v>
      </c>
      <c r="C20" s="7">
        <f>'1月'!C20+D20</f>
        <v>2544.4999999999995</v>
      </c>
      <c r="D20" s="7">
        <f t="shared" si="7"/>
        <v>316.7</v>
      </c>
      <c r="E20" s="17">
        <v>78.3</v>
      </c>
      <c r="F20" s="15">
        <v>84.2</v>
      </c>
      <c r="G20" s="15">
        <v>71.52</v>
      </c>
      <c r="H20" s="15">
        <v>82.68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7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/>
      <c r="AH20" s="15"/>
      <c r="AI20" s="15"/>
    </row>
    <row r="21" spans="1:35" s="3" customFormat="1" ht="24.95" customHeight="1">
      <c r="A21" s="63"/>
      <c r="B21" s="16" t="s">
        <v>53</v>
      </c>
      <c r="C21" s="7">
        <f>'1月'!C21+D21</f>
        <v>0</v>
      </c>
      <c r="D21" s="7">
        <f t="shared" si="7"/>
        <v>0</v>
      </c>
      <c r="E21" s="17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7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/>
      <c r="AH21" s="15"/>
      <c r="AI21" s="15"/>
    </row>
    <row r="22" spans="1:35" s="3" customFormat="1" ht="24.95" customHeight="1">
      <c r="A22" s="63"/>
      <c r="B22" s="13" t="s">
        <v>54</v>
      </c>
      <c r="C22" s="7">
        <f>'1月'!C22+D22</f>
        <v>0</v>
      </c>
      <c r="D22" s="7">
        <f t="shared" si="7"/>
        <v>0</v>
      </c>
      <c r="E22" s="17">
        <v>0</v>
      </c>
      <c r="F22" s="15">
        <v>0</v>
      </c>
      <c r="G22" s="15">
        <v>0</v>
      </c>
      <c r="H22" s="15">
        <v>0</v>
      </c>
      <c r="I22" s="17">
        <v>0</v>
      </c>
      <c r="J22" s="17">
        <v>0</v>
      </c>
      <c r="K22" s="15">
        <v>0</v>
      </c>
      <c r="L22" s="17">
        <v>0</v>
      </c>
      <c r="M22" s="15">
        <v>0</v>
      </c>
      <c r="N22" s="15">
        <v>0</v>
      </c>
      <c r="O22" s="15">
        <v>0</v>
      </c>
      <c r="P22" s="17">
        <v>0</v>
      </c>
      <c r="Q22" s="15">
        <v>0</v>
      </c>
      <c r="R22" s="17">
        <v>0</v>
      </c>
      <c r="S22" s="15">
        <v>0</v>
      </c>
      <c r="T22" s="17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/>
      <c r="AH22" s="17"/>
      <c r="AI22" s="15"/>
    </row>
    <row r="23" spans="1:35" s="3" customFormat="1" ht="22.15" customHeight="1">
      <c r="A23" s="63"/>
      <c r="B23" s="13" t="s">
        <v>55</v>
      </c>
      <c r="C23" s="7">
        <f>'1月'!C23+D23</f>
        <v>0</v>
      </c>
      <c r="D23" s="7">
        <f t="shared" si="7"/>
        <v>0</v>
      </c>
      <c r="E23" s="17">
        <v>0</v>
      </c>
      <c r="F23" s="15">
        <v>0</v>
      </c>
      <c r="G23" s="15">
        <v>0</v>
      </c>
      <c r="H23" s="15">
        <v>0</v>
      </c>
      <c r="I23" s="17">
        <v>0</v>
      </c>
      <c r="J23" s="17">
        <v>0</v>
      </c>
      <c r="K23" s="15">
        <v>0</v>
      </c>
      <c r="L23" s="17">
        <v>0</v>
      </c>
      <c r="M23" s="15">
        <v>0</v>
      </c>
      <c r="N23" s="15">
        <v>0</v>
      </c>
      <c r="O23" s="15">
        <v>0</v>
      </c>
      <c r="P23" s="17">
        <v>0</v>
      </c>
      <c r="Q23" s="15">
        <v>0</v>
      </c>
      <c r="R23" s="17">
        <v>0</v>
      </c>
      <c r="S23" s="15">
        <v>0</v>
      </c>
      <c r="T23" s="17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/>
      <c r="AH23" s="17"/>
      <c r="AI23" s="15"/>
    </row>
    <row r="24" spans="1:35" s="3" customFormat="1" ht="22.15" customHeight="1">
      <c r="A24" s="63"/>
      <c r="B24" s="18" t="s">
        <v>56</v>
      </c>
      <c r="C24" s="7">
        <f>'1月'!C24+D24</f>
        <v>0</v>
      </c>
      <c r="D24" s="7">
        <f t="shared" si="7"/>
        <v>0</v>
      </c>
      <c r="E24" s="17">
        <v>0</v>
      </c>
      <c r="F24" s="15">
        <v>0</v>
      </c>
      <c r="G24" s="15">
        <v>0</v>
      </c>
      <c r="H24" s="15">
        <v>0</v>
      </c>
      <c r="I24" s="17">
        <v>0</v>
      </c>
      <c r="J24" s="17">
        <v>0</v>
      </c>
      <c r="K24" s="15">
        <v>0</v>
      </c>
      <c r="L24" s="17">
        <v>0</v>
      </c>
      <c r="M24" s="15">
        <v>0</v>
      </c>
      <c r="N24" s="15">
        <v>0</v>
      </c>
      <c r="O24" s="15">
        <v>0</v>
      </c>
      <c r="P24" s="17">
        <v>0</v>
      </c>
      <c r="Q24" s="15">
        <v>0</v>
      </c>
      <c r="R24" s="17">
        <v>0</v>
      </c>
      <c r="S24" s="15">
        <v>0</v>
      </c>
      <c r="T24" s="17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/>
      <c r="AH24" s="17"/>
      <c r="AI24" s="15"/>
    </row>
    <row r="25" spans="1:35" s="3" customFormat="1" ht="22.15" customHeight="1">
      <c r="A25" s="63"/>
      <c r="B25" s="16" t="s">
        <v>57</v>
      </c>
      <c r="C25" s="7">
        <f>'1月'!C25+D25</f>
        <v>12628.619999999999</v>
      </c>
      <c r="D25" s="7">
        <f t="shared" si="7"/>
        <v>5788.94</v>
      </c>
      <c r="E25" s="17">
        <v>255.2</v>
      </c>
      <c r="F25" s="15">
        <v>250.86</v>
      </c>
      <c r="G25" s="15">
        <v>299.94</v>
      </c>
      <c r="H25" s="15">
        <v>239.04</v>
      </c>
      <c r="I25" s="17">
        <v>238.14</v>
      </c>
      <c r="J25" s="17">
        <v>264.54000000000002</v>
      </c>
      <c r="K25" s="15">
        <v>253.38</v>
      </c>
      <c r="L25" s="17">
        <v>250.88</v>
      </c>
      <c r="M25" s="15">
        <v>281.68</v>
      </c>
      <c r="N25" s="15">
        <v>214.02</v>
      </c>
      <c r="O25" s="15">
        <v>253.02</v>
      </c>
      <c r="P25" s="17">
        <v>112.36</v>
      </c>
      <c r="Q25" s="15">
        <v>116.2</v>
      </c>
      <c r="R25" s="17">
        <v>149.5</v>
      </c>
      <c r="S25" s="15">
        <v>101.98</v>
      </c>
      <c r="T25" s="17">
        <v>163.34</v>
      </c>
      <c r="U25" s="15">
        <v>110.5</v>
      </c>
      <c r="V25" s="15">
        <v>181.54</v>
      </c>
      <c r="W25" s="15">
        <v>162.46</v>
      </c>
      <c r="X25" s="15">
        <v>183.94</v>
      </c>
      <c r="Y25" s="15">
        <v>179.94</v>
      </c>
      <c r="Z25" s="15">
        <v>226.92</v>
      </c>
      <c r="AA25" s="15">
        <v>222.36</v>
      </c>
      <c r="AB25" s="15">
        <v>224.8</v>
      </c>
      <c r="AC25" s="15">
        <v>188.78</v>
      </c>
      <c r="AD25" s="15">
        <v>216.22</v>
      </c>
      <c r="AE25" s="15">
        <v>202.24</v>
      </c>
      <c r="AF25" s="15">
        <v>245.16</v>
      </c>
      <c r="AG25" s="15"/>
      <c r="AH25" s="17"/>
      <c r="AI25" s="15"/>
    </row>
    <row r="26" spans="1:35" s="3" customFormat="1" ht="22.15" customHeight="1">
      <c r="A26" s="63"/>
      <c r="B26" s="13" t="s">
        <v>58</v>
      </c>
      <c r="C26" s="7">
        <f>'1月'!C26+D26</f>
        <v>0</v>
      </c>
      <c r="D26" s="7">
        <f t="shared" si="7"/>
        <v>0</v>
      </c>
      <c r="E26" s="17">
        <v>0</v>
      </c>
      <c r="F26" s="15">
        <v>0</v>
      </c>
      <c r="G26" s="15">
        <v>0</v>
      </c>
      <c r="H26" s="15">
        <v>0</v>
      </c>
      <c r="I26" s="17">
        <v>0</v>
      </c>
      <c r="J26" s="17">
        <v>0</v>
      </c>
      <c r="K26" s="15">
        <v>0</v>
      </c>
      <c r="L26" s="17">
        <v>0</v>
      </c>
      <c r="M26" s="15">
        <v>0</v>
      </c>
      <c r="N26" s="15">
        <v>0</v>
      </c>
      <c r="O26" s="15">
        <v>0</v>
      </c>
      <c r="P26" s="17">
        <v>0</v>
      </c>
      <c r="Q26" s="15">
        <v>0</v>
      </c>
      <c r="R26" s="17">
        <v>0</v>
      </c>
      <c r="S26" s="15">
        <v>0</v>
      </c>
      <c r="T26" s="17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/>
      <c r="AH26" s="17"/>
      <c r="AI26" s="15"/>
    </row>
    <row r="27" spans="1:35" s="3" customFormat="1" ht="22.15" customHeight="1">
      <c r="A27" s="63"/>
      <c r="B27" s="19" t="s">
        <v>59</v>
      </c>
      <c r="C27" s="7">
        <f>'1月'!C27+D27</f>
        <v>11988.84</v>
      </c>
      <c r="D27" s="7">
        <f t="shared" si="7"/>
        <v>4782.3999999999987</v>
      </c>
      <c r="E27" s="17">
        <v>256.58</v>
      </c>
      <c r="F27" s="15">
        <v>244.96</v>
      </c>
      <c r="G27" s="15">
        <v>265.8</v>
      </c>
      <c r="H27" s="15">
        <v>182.94</v>
      </c>
      <c r="I27" s="17">
        <v>274.74</v>
      </c>
      <c r="J27" s="17">
        <v>260.27999999999997</v>
      </c>
      <c r="K27" s="15">
        <v>180.8</v>
      </c>
      <c r="L27" s="17">
        <v>176.16</v>
      </c>
      <c r="M27" s="15">
        <v>138.78</v>
      </c>
      <c r="N27" s="15">
        <v>156.68</v>
      </c>
      <c r="O27" s="15">
        <v>153.72</v>
      </c>
      <c r="P27" s="17">
        <v>142.38</v>
      </c>
      <c r="Q27" s="15">
        <v>61.98</v>
      </c>
      <c r="R27" s="17">
        <v>145.38</v>
      </c>
      <c r="S27" s="15">
        <v>84.06</v>
      </c>
      <c r="T27" s="17">
        <v>115.92</v>
      </c>
      <c r="U27" s="15">
        <v>90.02</v>
      </c>
      <c r="V27" s="15">
        <v>128.16</v>
      </c>
      <c r="W27" s="15">
        <v>140.94</v>
      </c>
      <c r="X27" s="15">
        <v>150.41999999999999</v>
      </c>
      <c r="Y27" s="15">
        <v>143.69999999999999</v>
      </c>
      <c r="Z27" s="15">
        <v>228.22</v>
      </c>
      <c r="AA27" s="15">
        <v>175.1</v>
      </c>
      <c r="AB27" s="15">
        <v>165.32</v>
      </c>
      <c r="AC27" s="15">
        <v>177.22</v>
      </c>
      <c r="AD27" s="15">
        <v>170.74</v>
      </c>
      <c r="AE27" s="15">
        <v>165.04</v>
      </c>
      <c r="AF27" s="15">
        <v>206.36</v>
      </c>
      <c r="AG27" s="15"/>
      <c r="AH27" s="17"/>
      <c r="AI27" s="15"/>
    </row>
    <row r="28" spans="1:35" s="3" customFormat="1" ht="22.15" customHeight="1">
      <c r="A28" s="63"/>
      <c r="B28" s="19" t="s">
        <v>60</v>
      </c>
      <c r="C28" s="7">
        <f>'1月'!C28+D28</f>
        <v>7683.42</v>
      </c>
      <c r="D28" s="7">
        <f t="shared" si="7"/>
        <v>3454.9599999999996</v>
      </c>
      <c r="E28" s="17">
        <v>133.30000000000001</v>
      </c>
      <c r="F28" s="15">
        <v>161.68</v>
      </c>
      <c r="G28" s="15">
        <v>162.68</v>
      </c>
      <c r="H28" s="15">
        <v>129.66</v>
      </c>
      <c r="I28" s="17">
        <v>116.26</v>
      </c>
      <c r="J28" s="17">
        <v>158.32</v>
      </c>
      <c r="K28" s="15">
        <v>116</v>
      </c>
      <c r="L28" s="17">
        <v>121.78</v>
      </c>
      <c r="M28" s="15">
        <v>129</v>
      </c>
      <c r="N28" s="15">
        <v>132.84</v>
      </c>
      <c r="O28" s="15">
        <v>121.92</v>
      </c>
      <c r="P28" s="17">
        <v>112.82</v>
      </c>
      <c r="Q28" s="15">
        <v>113.38</v>
      </c>
      <c r="R28" s="17">
        <v>138.13999999999999</v>
      </c>
      <c r="S28" s="15">
        <v>111</v>
      </c>
      <c r="T28" s="17">
        <v>91.38</v>
      </c>
      <c r="U28" s="15">
        <v>97.14</v>
      </c>
      <c r="V28" s="15">
        <v>89.2</v>
      </c>
      <c r="W28" s="15">
        <v>115.42</v>
      </c>
      <c r="X28" s="15">
        <v>115.82</v>
      </c>
      <c r="Y28" s="15">
        <v>122.68</v>
      </c>
      <c r="Z28" s="15">
        <v>130.68</v>
      </c>
      <c r="AA28" s="15">
        <v>128.13999999999999</v>
      </c>
      <c r="AB28" s="15">
        <v>108.4</v>
      </c>
      <c r="AC28" s="15">
        <v>134.84</v>
      </c>
      <c r="AD28" s="15">
        <v>115.42</v>
      </c>
      <c r="AE28" s="15">
        <v>127.34</v>
      </c>
      <c r="AF28" s="15">
        <v>119.72</v>
      </c>
      <c r="AG28" s="15"/>
      <c r="AH28" s="17"/>
      <c r="AI28" s="15"/>
    </row>
    <row r="29" spans="1:35" s="3" customFormat="1" ht="22.15" customHeight="1">
      <c r="A29" s="63"/>
      <c r="B29" s="19" t="s">
        <v>61</v>
      </c>
      <c r="C29" s="7">
        <f>'1月'!C29+D29</f>
        <v>21401.599999999999</v>
      </c>
      <c r="D29" s="7">
        <f t="shared" si="7"/>
        <v>10845.439999999999</v>
      </c>
      <c r="E29" s="17">
        <v>545.38</v>
      </c>
      <c r="F29" s="15">
        <v>543.84</v>
      </c>
      <c r="G29" s="15">
        <v>564.86</v>
      </c>
      <c r="H29" s="15">
        <v>459.98</v>
      </c>
      <c r="I29" s="17">
        <v>514.28</v>
      </c>
      <c r="J29" s="17">
        <v>472.16</v>
      </c>
      <c r="K29" s="15">
        <v>532.08000000000004</v>
      </c>
      <c r="L29" s="17">
        <v>478.02</v>
      </c>
      <c r="M29" s="15">
        <v>567.28</v>
      </c>
      <c r="N29" s="15">
        <v>580.64</v>
      </c>
      <c r="O29" s="15">
        <v>467.52</v>
      </c>
      <c r="P29" s="17">
        <v>432.06</v>
      </c>
      <c r="Q29" s="15">
        <v>307.95999999999998</v>
      </c>
      <c r="R29" s="17">
        <v>359.26</v>
      </c>
      <c r="S29" s="15">
        <v>332.16</v>
      </c>
      <c r="T29" s="17">
        <v>301.76</v>
      </c>
      <c r="U29" s="15">
        <v>417.68</v>
      </c>
      <c r="V29" s="15">
        <v>358.9</v>
      </c>
      <c r="W29" s="15">
        <v>364.64</v>
      </c>
      <c r="X29" s="15">
        <v>365.38</v>
      </c>
      <c r="Y29" s="15">
        <v>460.84</v>
      </c>
      <c r="Z29" s="15">
        <v>470.66</v>
      </c>
      <c r="AA29" s="15">
        <v>471.66</v>
      </c>
      <c r="AB29" s="15">
        <v>63.06</v>
      </c>
      <c r="AC29" s="15">
        <v>0</v>
      </c>
      <c r="AD29" s="15">
        <v>0</v>
      </c>
      <c r="AE29" s="15">
        <v>0</v>
      </c>
      <c r="AF29" s="15">
        <v>413.38</v>
      </c>
      <c r="AG29" s="15"/>
      <c r="AH29" s="17"/>
      <c r="AI29" s="15"/>
    </row>
    <row r="30" spans="1:35" s="3" customFormat="1" ht="22.15" customHeight="1">
      <c r="A30" s="63"/>
      <c r="B30" s="19" t="s">
        <v>62</v>
      </c>
      <c r="C30" s="7">
        <f>'1月'!C30+D30</f>
        <v>32.82</v>
      </c>
      <c r="D30" s="7">
        <f t="shared" si="7"/>
        <v>0</v>
      </c>
      <c r="E30" s="17">
        <v>0</v>
      </c>
      <c r="F30" s="15">
        <v>0</v>
      </c>
      <c r="G30" s="15">
        <v>0</v>
      </c>
      <c r="H30" s="15">
        <v>0</v>
      </c>
      <c r="I30" s="17">
        <v>0</v>
      </c>
      <c r="J30" s="17">
        <v>0</v>
      </c>
      <c r="K30" s="15">
        <v>0</v>
      </c>
      <c r="L30" s="17">
        <v>0</v>
      </c>
      <c r="M30" s="15">
        <v>0</v>
      </c>
      <c r="N30" s="15">
        <v>0</v>
      </c>
      <c r="O30" s="15">
        <v>0</v>
      </c>
      <c r="P30" s="17">
        <v>0</v>
      </c>
      <c r="Q30" s="15">
        <v>0</v>
      </c>
      <c r="R30" s="17">
        <v>0</v>
      </c>
      <c r="S30" s="15">
        <v>0</v>
      </c>
      <c r="T30" s="17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/>
      <c r="AH30" s="17"/>
      <c r="AI30" s="15"/>
    </row>
    <row r="31" spans="1:35" s="3" customFormat="1" ht="22.15" customHeight="1">
      <c r="A31" s="63"/>
      <c r="B31" s="19" t="s">
        <v>63</v>
      </c>
      <c r="C31" s="7">
        <f>'1月'!C31+D31</f>
        <v>0</v>
      </c>
      <c r="D31" s="7">
        <f t="shared" si="7"/>
        <v>0</v>
      </c>
      <c r="E31" s="17">
        <v>0</v>
      </c>
      <c r="F31" s="15">
        <v>0</v>
      </c>
      <c r="G31" s="15">
        <v>0</v>
      </c>
      <c r="H31" s="15">
        <v>0</v>
      </c>
      <c r="I31" s="17">
        <v>0</v>
      </c>
      <c r="J31" s="17">
        <v>0</v>
      </c>
      <c r="K31" s="15">
        <v>0</v>
      </c>
      <c r="L31" s="17">
        <v>0</v>
      </c>
      <c r="M31" s="15">
        <v>0</v>
      </c>
      <c r="N31" s="15">
        <v>0</v>
      </c>
      <c r="O31" s="15">
        <v>0</v>
      </c>
      <c r="P31" s="17">
        <v>0</v>
      </c>
      <c r="Q31" s="15">
        <v>0</v>
      </c>
      <c r="R31" s="17">
        <v>0</v>
      </c>
      <c r="S31" s="15">
        <v>0</v>
      </c>
      <c r="T31" s="17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/>
      <c r="AH31" s="17"/>
      <c r="AI31" s="15"/>
    </row>
    <row r="32" spans="1:35" s="3" customFormat="1" ht="22.15" customHeight="1">
      <c r="A32" s="63"/>
      <c r="B32" s="19" t="s">
        <v>64</v>
      </c>
      <c r="C32" s="7">
        <f>'1月'!C32+D32</f>
        <v>241.22000000000003</v>
      </c>
      <c r="D32" s="7">
        <f t="shared" si="7"/>
        <v>118.76</v>
      </c>
      <c r="E32" s="17">
        <v>33.22</v>
      </c>
      <c r="F32" s="15">
        <v>0</v>
      </c>
      <c r="G32" s="15">
        <v>0</v>
      </c>
      <c r="H32" s="15">
        <v>0</v>
      </c>
      <c r="I32" s="17">
        <v>0</v>
      </c>
      <c r="J32" s="17">
        <v>0</v>
      </c>
      <c r="K32" s="15">
        <v>0</v>
      </c>
      <c r="L32" s="17">
        <v>0</v>
      </c>
      <c r="M32" s="15">
        <v>0</v>
      </c>
      <c r="N32" s="15">
        <v>0</v>
      </c>
      <c r="O32" s="15">
        <v>0</v>
      </c>
      <c r="P32" s="17">
        <v>0</v>
      </c>
      <c r="Q32" s="15">
        <v>0</v>
      </c>
      <c r="R32" s="17">
        <v>0</v>
      </c>
      <c r="S32" s="15">
        <v>0</v>
      </c>
      <c r="T32" s="17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58.74</v>
      </c>
      <c r="AA32" s="15">
        <v>0</v>
      </c>
      <c r="AB32" s="15">
        <v>0</v>
      </c>
      <c r="AC32" s="15">
        <v>0</v>
      </c>
      <c r="AD32" s="15">
        <v>26.8</v>
      </c>
      <c r="AE32" s="28">
        <v>0</v>
      </c>
      <c r="AF32" s="28">
        <v>0</v>
      </c>
      <c r="AG32" s="15"/>
      <c r="AH32" s="17"/>
      <c r="AI32" s="15"/>
    </row>
    <row r="33" spans="1:35" s="3" customFormat="1" ht="22.15" hidden="1" customHeight="1">
      <c r="A33" s="63"/>
      <c r="B33" s="19"/>
      <c r="C33" s="7">
        <f>'1月'!C33+D33</f>
        <v>0</v>
      </c>
      <c r="D33" s="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5">
        <v>0</v>
      </c>
      <c r="AF33" s="17"/>
      <c r="AG33" s="17"/>
      <c r="AH33" s="17"/>
      <c r="AI33" s="17"/>
    </row>
    <row r="34" spans="1:35" s="3" customFormat="1" ht="22.15" hidden="1" customHeight="1">
      <c r="A34" s="63"/>
      <c r="B34" s="19"/>
      <c r="C34" s="7">
        <f>'1月'!C34+D34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5" s="3" customFormat="1" ht="26.1" customHeight="1">
      <c r="A35" s="64"/>
      <c r="B35" s="12" t="s">
        <v>65</v>
      </c>
      <c r="C35" s="7">
        <f>SUM(C19:C32)</f>
        <v>70473.080000000016</v>
      </c>
      <c r="D35" s="7">
        <f>SUM(D19:D34)</f>
        <v>31798.439999999995</v>
      </c>
      <c r="E35" s="7">
        <f>SUM(E19:E34)</f>
        <v>1583.3999999999999</v>
      </c>
      <c r="F35" s="7">
        <f t="shared" ref="F35:AI35" si="8">SUM(F19:F34)</f>
        <v>1623.8600000000001</v>
      </c>
      <c r="G35" s="7">
        <f t="shared" si="8"/>
        <v>1664</v>
      </c>
      <c r="H35" s="7">
        <f t="shared" si="8"/>
        <v>1412</v>
      </c>
      <c r="I35" s="7">
        <f t="shared" si="8"/>
        <v>1471.02</v>
      </c>
      <c r="J35" s="7">
        <f t="shared" si="8"/>
        <v>1476.06</v>
      </c>
      <c r="K35" s="7">
        <f t="shared" si="8"/>
        <v>1321.6799999999998</v>
      </c>
      <c r="L35" s="7">
        <f t="shared" si="8"/>
        <v>1303.94</v>
      </c>
      <c r="M35" s="7">
        <f t="shared" si="8"/>
        <v>1336.06</v>
      </c>
      <c r="N35" s="7">
        <f t="shared" si="8"/>
        <v>1329.22</v>
      </c>
      <c r="O35" s="7">
        <f t="shared" si="8"/>
        <v>1232</v>
      </c>
      <c r="P35" s="7">
        <f t="shared" si="8"/>
        <v>922.8</v>
      </c>
      <c r="Q35" s="7">
        <f t="shared" si="8"/>
        <v>775.22</v>
      </c>
      <c r="R35" s="7">
        <f t="shared" si="8"/>
        <v>982.68</v>
      </c>
      <c r="S35" s="7">
        <f t="shared" si="8"/>
        <v>819.6</v>
      </c>
      <c r="T35" s="7">
        <f t="shared" si="8"/>
        <v>809.46</v>
      </c>
      <c r="U35" s="7">
        <f t="shared" si="8"/>
        <v>871.56</v>
      </c>
      <c r="V35" s="7">
        <f t="shared" si="8"/>
        <v>893.14</v>
      </c>
      <c r="W35" s="7">
        <f t="shared" si="8"/>
        <v>928.42</v>
      </c>
      <c r="X35" s="7">
        <f t="shared" si="8"/>
        <v>996.06000000000006</v>
      </c>
      <c r="Y35" s="7">
        <f t="shared" si="8"/>
        <v>1089.26</v>
      </c>
      <c r="Z35" s="7">
        <f t="shared" si="8"/>
        <v>1324.8200000000002</v>
      </c>
      <c r="AA35" s="7">
        <f t="shared" si="8"/>
        <v>1236.46</v>
      </c>
      <c r="AB35" s="7">
        <f t="shared" si="8"/>
        <v>810.72</v>
      </c>
      <c r="AC35" s="7">
        <f t="shared" si="8"/>
        <v>773.04000000000008</v>
      </c>
      <c r="AD35" s="7">
        <f t="shared" si="8"/>
        <v>788.51999999999987</v>
      </c>
      <c r="AE35" s="7">
        <f>SUM(AE19:AE32)</f>
        <v>798.80000000000007</v>
      </c>
      <c r="AF35" s="7">
        <f t="shared" si="8"/>
        <v>1224.6399999999999</v>
      </c>
      <c r="AG35" s="7">
        <f t="shared" si="8"/>
        <v>0</v>
      </c>
      <c r="AH35" s="7">
        <f t="shared" si="8"/>
        <v>0</v>
      </c>
      <c r="AI35" s="7">
        <f t="shared" si="8"/>
        <v>0</v>
      </c>
    </row>
    <row r="36" spans="1:35" s="3" customFormat="1" ht="26.1" customHeight="1">
      <c r="A36" s="61" t="s">
        <v>68</v>
      </c>
      <c r="B36" s="12" t="s">
        <v>66</v>
      </c>
      <c r="C36" s="7">
        <f>'1月'!C36+D36</f>
        <v>15710.06</v>
      </c>
      <c r="D36" s="7">
        <f>SUM(E36:AI36)</f>
        <v>7490.2199999999993</v>
      </c>
      <c r="E36" s="7">
        <v>351.66</v>
      </c>
      <c r="F36" s="7">
        <v>264.94</v>
      </c>
      <c r="G36" s="7">
        <v>349.2</v>
      </c>
      <c r="H36" s="7">
        <v>279.66000000000003</v>
      </c>
      <c r="I36" s="7">
        <v>316.38</v>
      </c>
      <c r="J36" s="7">
        <v>299.06</v>
      </c>
      <c r="K36" s="7">
        <v>364.14</v>
      </c>
      <c r="L36" s="7">
        <v>344.26</v>
      </c>
      <c r="M36" s="7">
        <v>325.45999999999998</v>
      </c>
      <c r="N36" s="7">
        <v>305.2</v>
      </c>
      <c r="O36" s="7">
        <v>325.42</v>
      </c>
      <c r="P36" s="7">
        <v>144.66</v>
      </c>
      <c r="Q36" s="7">
        <v>319.14</v>
      </c>
      <c r="R36" s="7">
        <v>348.34</v>
      </c>
      <c r="S36" s="7">
        <v>285.48</v>
      </c>
      <c r="T36" s="7">
        <v>122.86</v>
      </c>
      <c r="U36" s="7">
        <v>70.739999999999995</v>
      </c>
      <c r="V36" s="7">
        <v>118.92</v>
      </c>
      <c r="W36" s="7">
        <v>327.84</v>
      </c>
      <c r="X36" s="7">
        <v>435.72</v>
      </c>
      <c r="Y36" s="7">
        <v>340.24</v>
      </c>
      <c r="Z36" s="7">
        <v>350.4</v>
      </c>
      <c r="AA36" s="7">
        <v>306.7</v>
      </c>
      <c r="AB36" s="7">
        <v>213.52</v>
      </c>
      <c r="AC36" s="7">
        <v>157.97999999999999</v>
      </c>
      <c r="AD36" s="7">
        <v>136.62</v>
      </c>
      <c r="AE36" s="7">
        <v>156.06</v>
      </c>
      <c r="AF36" s="7">
        <v>129.62</v>
      </c>
      <c r="AG36" s="7"/>
      <c r="AH36" s="7"/>
      <c r="AI36" s="7"/>
    </row>
    <row r="37" spans="1:35" s="3" customFormat="1" ht="26.1" customHeight="1">
      <c r="A37" s="53"/>
      <c r="B37" s="12" t="s">
        <v>67</v>
      </c>
      <c r="C37" s="7">
        <f>'1月'!C37+D37</f>
        <v>1780.12</v>
      </c>
      <c r="D37" s="7">
        <f t="shared" ref="D37:D41" si="9">SUM(E37:AI37)</f>
        <v>780.8599999999999</v>
      </c>
      <c r="E37" s="7">
        <v>20.98</v>
      </c>
      <c r="F37" s="7">
        <v>23.62</v>
      </c>
      <c r="G37" s="7">
        <v>57.56</v>
      </c>
      <c r="H37" s="7">
        <v>56.8</v>
      </c>
      <c r="I37" s="7">
        <v>21.32</v>
      </c>
      <c r="J37" s="7">
        <v>41.66</v>
      </c>
      <c r="K37" s="7">
        <v>11.1</v>
      </c>
      <c r="L37" s="7">
        <v>19.68</v>
      </c>
      <c r="M37" s="7">
        <v>40.64</v>
      </c>
      <c r="N37" s="7">
        <v>16.600000000000001</v>
      </c>
      <c r="O37" s="7">
        <v>58.3</v>
      </c>
      <c r="P37" s="7">
        <v>0</v>
      </c>
      <c r="Q37" s="7">
        <v>57.42</v>
      </c>
      <c r="R37" s="7">
        <v>20.32</v>
      </c>
      <c r="S37" s="7">
        <v>32.06</v>
      </c>
      <c r="T37" s="7">
        <v>51.34</v>
      </c>
      <c r="U37" s="7">
        <v>11.4</v>
      </c>
      <c r="V37" s="7">
        <v>64.680000000000007</v>
      </c>
      <c r="W37" s="7">
        <v>0</v>
      </c>
      <c r="X37" s="7">
        <v>41.38</v>
      </c>
      <c r="Y37" s="7">
        <v>19.52</v>
      </c>
      <c r="Z37" s="7">
        <v>19.760000000000002</v>
      </c>
      <c r="AA37" s="7">
        <v>19.920000000000002</v>
      </c>
      <c r="AB37" s="7">
        <v>30.38</v>
      </c>
      <c r="AC37" s="7">
        <v>0</v>
      </c>
      <c r="AD37" s="7">
        <v>12.4</v>
      </c>
      <c r="AE37" s="7">
        <v>32.020000000000003</v>
      </c>
      <c r="AF37" s="7">
        <v>0</v>
      </c>
      <c r="AG37" s="7"/>
      <c r="AH37" s="7"/>
      <c r="AI37" s="7"/>
    </row>
    <row r="38" spans="1:35" s="3" customFormat="1" ht="24.95" customHeight="1">
      <c r="A38" s="54"/>
      <c r="B38" s="6" t="s">
        <v>69</v>
      </c>
      <c r="C38" s="7">
        <f>'1月'!C38+D38</f>
        <v>3853</v>
      </c>
      <c r="D38" s="7">
        <f t="shared" si="9"/>
        <v>1895</v>
      </c>
      <c r="E38" s="7">
        <v>80</v>
      </c>
      <c r="F38" s="7">
        <v>42</v>
      </c>
      <c r="G38" s="7">
        <v>34</v>
      </c>
      <c r="H38" s="7">
        <v>37</v>
      </c>
      <c r="I38" s="7">
        <v>0</v>
      </c>
      <c r="J38" s="7">
        <v>31</v>
      </c>
      <c r="K38" s="7">
        <v>34</v>
      </c>
      <c r="L38" s="7">
        <v>30</v>
      </c>
      <c r="M38" s="7">
        <v>28</v>
      </c>
      <c r="N38" s="7">
        <v>32</v>
      </c>
      <c r="O38" s="7">
        <v>33</v>
      </c>
      <c r="P38" s="7">
        <v>37</v>
      </c>
      <c r="Q38" s="7">
        <v>35</v>
      </c>
      <c r="R38" s="7">
        <v>30</v>
      </c>
      <c r="S38" s="7">
        <v>31</v>
      </c>
      <c r="T38" s="7">
        <v>29</v>
      </c>
      <c r="U38" s="7">
        <v>124</v>
      </c>
      <c r="V38" s="7">
        <v>116</v>
      </c>
      <c r="W38" s="7">
        <v>32</v>
      </c>
      <c r="X38" s="7">
        <v>259</v>
      </c>
      <c r="Y38" s="7">
        <v>136</v>
      </c>
      <c r="Z38" s="7">
        <v>35</v>
      </c>
      <c r="AA38" s="7">
        <v>271</v>
      </c>
      <c r="AB38" s="7">
        <v>28</v>
      </c>
      <c r="AC38" s="7">
        <v>192</v>
      </c>
      <c r="AD38" s="7">
        <v>31</v>
      </c>
      <c r="AE38" s="7">
        <v>27</v>
      </c>
      <c r="AF38" s="7">
        <v>101</v>
      </c>
      <c r="AG38" s="7"/>
      <c r="AH38" s="7"/>
      <c r="AI38" s="7"/>
    </row>
    <row r="39" spans="1:35" s="3" customFormat="1" ht="24.95" customHeight="1">
      <c r="A39" s="60" t="s">
        <v>70</v>
      </c>
      <c r="B39" s="6" t="s">
        <v>71</v>
      </c>
      <c r="C39" s="7">
        <f>'1月'!C39+D39</f>
        <v>136.07999999999998</v>
      </c>
      <c r="D39" s="7">
        <f t="shared" si="9"/>
        <v>59.6</v>
      </c>
      <c r="E39" s="39">
        <v>2.67</v>
      </c>
      <c r="F39" s="39">
        <v>2.67</v>
      </c>
      <c r="G39" s="39">
        <v>2.76</v>
      </c>
      <c r="H39" s="46">
        <v>2.67</v>
      </c>
      <c r="I39" s="39">
        <v>2.67</v>
      </c>
      <c r="J39" s="39">
        <v>2.58</v>
      </c>
      <c r="K39" s="39">
        <v>2.48</v>
      </c>
      <c r="L39" s="39">
        <v>2.39</v>
      </c>
      <c r="M39" s="39">
        <v>2.2999999999999998</v>
      </c>
      <c r="N39" s="39">
        <v>2.2999999999999998</v>
      </c>
      <c r="O39" s="42">
        <v>2.2999999999999998</v>
      </c>
      <c r="P39" s="42">
        <v>2.2999999999999998</v>
      </c>
      <c r="Q39" s="42">
        <v>2.39</v>
      </c>
      <c r="R39" s="42">
        <v>2.2999999999999998</v>
      </c>
      <c r="S39" s="42">
        <v>2.2999999999999998</v>
      </c>
      <c r="T39" s="42">
        <v>2.39</v>
      </c>
      <c r="U39" s="42">
        <v>2.39</v>
      </c>
      <c r="V39" s="42">
        <v>2.39</v>
      </c>
      <c r="W39" s="42">
        <v>2.39</v>
      </c>
      <c r="X39" s="42">
        <v>2.39</v>
      </c>
      <c r="Y39" s="39">
        <v>2.2999999999999998</v>
      </c>
      <c r="Z39" s="39">
        <v>2.02</v>
      </c>
      <c r="AA39" s="39">
        <v>1.2</v>
      </c>
      <c r="AB39" s="39">
        <v>1.01</v>
      </c>
      <c r="AC39" s="39">
        <v>1.01</v>
      </c>
      <c r="AD39" s="39">
        <v>0.92</v>
      </c>
      <c r="AE39" s="39">
        <v>1.01</v>
      </c>
      <c r="AF39" s="39">
        <v>1.1000000000000001</v>
      </c>
      <c r="AG39" s="7"/>
      <c r="AH39" s="7"/>
      <c r="AI39" s="7"/>
    </row>
    <row r="40" spans="1:35" s="3" customFormat="1" ht="24.95" customHeight="1">
      <c r="A40" s="60"/>
      <c r="B40" s="6" t="s">
        <v>72</v>
      </c>
      <c r="C40" s="7">
        <f>'1月'!C40+D40</f>
        <v>655.5</v>
      </c>
      <c r="D40" s="7">
        <f t="shared" si="9"/>
        <v>275.60000000000002</v>
      </c>
      <c r="E40" s="40">
        <v>14.1</v>
      </c>
      <c r="F40" s="40">
        <v>12.8</v>
      </c>
      <c r="G40" s="40">
        <v>14.7</v>
      </c>
      <c r="H40" s="40">
        <v>12.7</v>
      </c>
      <c r="I40" s="40">
        <v>13.6</v>
      </c>
      <c r="J40" s="40">
        <v>11.7</v>
      </c>
      <c r="K40" s="40">
        <v>10.9</v>
      </c>
      <c r="L40" s="40">
        <v>12.1</v>
      </c>
      <c r="M40" s="40">
        <v>12.1</v>
      </c>
      <c r="N40" s="40">
        <v>11.1</v>
      </c>
      <c r="O40" s="43">
        <v>11.2</v>
      </c>
      <c r="P40" s="43">
        <v>12.8</v>
      </c>
      <c r="Q40" s="43">
        <v>12.1</v>
      </c>
      <c r="R40" s="43">
        <v>10.6</v>
      </c>
      <c r="S40" s="43">
        <v>10.9</v>
      </c>
      <c r="T40" s="43">
        <v>10.4</v>
      </c>
      <c r="U40" s="43">
        <v>11</v>
      </c>
      <c r="V40" s="43">
        <v>10.5</v>
      </c>
      <c r="W40" s="43">
        <v>7.9</v>
      </c>
      <c r="X40" s="43">
        <v>9</v>
      </c>
      <c r="Y40" s="43">
        <v>7.6</v>
      </c>
      <c r="Z40" s="43">
        <v>7.9</v>
      </c>
      <c r="AA40" s="43">
        <v>7</v>
      </c>
      <c r="AB40" s="43">
        <v>5.3</v>
      </c>
      <c r="AC40" s="43">
        <v>4.3</v>
      </c>
      <c r="AD40" s="43">
        <v>4</v>
      </c>
      <c r="AE40" s="43">
        <v>3.6</v>
      </c>
      <c r="AF40" s="43">
        <v>3.7</v>
      </c>
      <c r="AG40" s="7"/>
      <c r="AH40" s="7"/>
      <c r="AI40" s="7"/>
    </row>
    <row r="41" spans="1:35" s="3" customFormat="1" ht="24.95" customHeight="1">
      <c r="A41" s="60"/>
      <c r="B41" s="6" t="s">
        <v>73</v>
      </c>
      <c r="C41" s="7">
        <f>'1月'!C41+D41</f>
        <v>37.499999999999986</v>
      </c>
      <c r="D41" s="7">
        <f t="shared" si="9"/>
        <v>17.79999999999999</v>
      </c>
      <c r="E41" s="41">
        <v>0.8</v>
      </c>
      <c r="F41" s="41">
        <v>0.8</v>
      </c>
      <c r="G41" s="41">
        <v>0.8</v>
      </c>
      <c r="H41" s="41">
        <v>0.7</v>
      </c>
      <c r="I41" s="41">
        <v>0.8</v>
      </c>
      <c r="J41" s="41">
        <v>0.7</v>
      </c>
      <c r="K41" s="41">
        <v>0.7</v>
      </c>
      <c r="L41" s="41">
        <v>0.7</v>
      </c>
      <c r="M41" s="41">
        <v>0.7</v>
      </c>
      <c r="N41" s="41">
        <v>0.7</v>
      </c>
      <c r="O41" s="44">
        <v>0.7</v>
      </c>
      <c r="P41" s="44">
        <v>0.7</v>
      </c>
      <c r="Q41" s="44">
        <v>0.7</v>
      </c>
      <c r="R41" s="44">
        <v>0.7</v>
      </c>
      <c r="S41" s="44">
        <v>0.7</v>
      </c>
      <c r="T41" s="44">
        <v>0.7</v>
      </c>
      <c r="U41" s="44">
        <v>0.7</v>
      </c>
      <c r="V41" s="44">
        <v>0.7</v>
      </c>
      <c r="W41" s="44">
        <v>0.7</v>
      </c>
      <c r="X41" s="44">
        <v>0.7</v>
      </c>
      <c r="Y41" s="44">
        <v>0.7</v>
      </c>
      <c r="Z41" s="44">
        <v>0.5</v>
      </c>
      <c r="AA41" s="44">
        <v>0.3</v>
      </c>
      <c r="AB41" s="44">
        <v>0.3</v>
      </c>
      <c r="AC41" s="44">
        <v>0.4</v>
      </c>
      <c r="AD41" s="44">
        <v>0.4</v>
      </c>
      <c r="AE41" s="44">
        <v>0.4</v>
      </c>
      <c r="AF41" s="44">
        <v>0.4</v>
      </c>
      <c r="AG41" s="7"/>
      <c r="AH41" s="7"/>
      <c r="AI41" s="7"/>
    </row>
    <row r="42" spans="1:35" s="1" customFormat="1" ht="18" customHeight="1">
      <c r="B42" s="20" t="s">
        <v>74</v>
      </c>
      <c r="C42" s="21">
        <f>C36/C5</f>
        <v>0.23834575629353283</v>
      </c>
      <c r="D42" s="21">
        <f>D36/D5</f>
        <v>0.23972386158513947</v>
      </c>
      <c r="G42" s="22"/>
    </row>
    <row r="43" spans="1:35" s="1" customFormat="1" ht="18" customHeight="1">
      <c r="B43" s="23" t="s">
        <v>75</v>
      </c>
      <c r="C43" s="24">
        <f>C37/C5</f>
        <v>2.7007156413994832E-2</v>
      </c>
      <c r="D43" s="24">
        <f>D37/D5</f>
        <v>2.4991358672692126E-2</v>
      </c>
      <c r="G43" s="22"/>
    </row>
    <row r="44" spans="1:35" s="1" customFormat="1" ht="18" customHeight="1">
      <c r="B44" s="23" t="s">
        <v>76</v>
      </c>
      <c r="C44" s="24">
        <f>C38/C5</f>
        <v>5.8455931995102635E-2</v>
      </c>
      <c r="D44" s="24">
        <f>D38/D5</f>
        <v>6.0649315734896889E-2</v>
      </c>
      <c r="G44" s="22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</sheetData>
  <mergeCells count="10">
    <mergeCell ref="A16:A17"/>
    <mergeCell ref="A39:A41"/>
    <mergeCell ref="A1:B1"/>
    <mergeCell ref="C1:AI1"/>
    <mergeCell ref="A3:A5"/>
    <mergeCell ref="A6:A8"/>
    <mergeCell ref="A9:A12"/>
    <mergeCell ref="A13:A15"/>
    <mergeCell ref="A36:A38"/>
    <mergeCell ref="A19:A35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67"/>
  <sheetViews>
    <sheetView topLeftCell="A13" workbookViewId="0">
      <pane xSplit="4" topLeftCell="E1" activePane="topRight" state="frozen"/>
      <selection pane="topRight" activeCell="A36" sqref="A36:A38"/>
    </sheetView>
  </sheetViews>
  <sheetFormatPr defaultColWidth="9" defaultRowHeight="13.5"/>
  <cols>
    <col min="1" max="1" width="8.75" style="4" customWidth="1"/>
    <col min="2" max="2" width="13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7">
        <v>44256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'2月'!C3+D3</f>
        <v>52191.3</v>
      </c>
      <c r="D3" s="7">
        <f t="shared" ref="D3:D9" si="0">SUM(E3:AI3)</f>
        <v>19889.900000000005</v>
      </c>
      <c r="E3" s="7">
        <v>642.20000000000005</v>
      </c>
      <c r="F3" s="7">
        <v>669.9</v>
      </c>
      <c r="G3" s="7">
        <v>676.5</v>
      </c>
      <c r="H3" s="7">
        <v>680.9</v>
      </c>
      <c r="I3" s="7">
        <v>584.70000000000005</v>
      </c>
      <c r="J3" s="7">
        <v>675.9</v>
      </c>
      <c r="K3" s="7">
        <v>643.6</v>
      </c>
      <c r="L3" s="7">
        <v>643.1</v>
      </c>
      <c r="M3" s="7">
        <v>591.70000000000005</v>
      </c>
      <c r="N3" s="7">
        <v>654.29999999999995</v>
      </c>
      <c r="O3" s="7">
        <v>652.5</v>
      </c>
      <c r="P3" s="7">
        <v>644.29999999999995</v>
      </c>
      <c r="Q3" s="7">
        <v>659.2</v>
      </c>
      <c r="R3" s="7">
        <v>632</v>
      </c>
      <c r="S3" s="7">
        <v>647.20000000000005</v>
      </c>
      <c r="T3" s="7">
        <v>595.9</v>
      </c>
      <c r="U3" s="7">
        <v>635.1</v>
      </c>
      <c r="V3" s="7">
        <v>639.20000000000005</v>
      </c>
      <c r="W3" s="7">
        <v>671.2</v>
      </c>
      <c r="X3" s="7">
        <v>664.7</v>
      </c>
      <c r="Y3" s="7">
        <v>635.9</v>
      </c>
      <c r="Z3" s="7">
        <v>652.70000000000005</v>
      </c>
      <c r="AA3" s="7">
        <v>623.5</v>
      </c>
      <c r="AB3" s="7">
        <v>633.79999999999995</v>
      </c>
      <c r="AC3" s="7">
        <v>650</v>
      </c>
      <c r="AD3" s="7">
        <v>634.6</v>
      </c>
      <c r="AE3" s="7">
        <v>644.70000000000005</v>
      </c>
      <c r="AF3" s="7">
        <v>628.6</v>
      </c>
      <c r="AG3" s="7">
        <v>659.7</v>
      </c>
      <c r="AH3" s="7">
        <v>615.9</v>
      </c>
      <c r="AI3" s="29">
        <v>606.4</v>
      </c>
    </row>
    <row r="4" spans="1:35" s="3" customFormat="1" ht="26.25" customHeight="1">
      <c r="A4" s="51"/>
      <c r="B4" s="7" t="s">
        <v>37</v>
      </c>
      <c r="C4" s="7">
        <f>'2月'!C4+D4</f>
        <v>55207</v>
      </c>
      <c r="D4" s="7">
        <f t="shared" si="0"/>
        <v>21595.500000000004</v>
      </c>
      <c r="E4" s="7">
        <v>735.9</v>
      </c>
      <c r="F4" s="7">
        <v>694.6</v>
      </c>
      <c r="G4" s="7">
        <v>726</v>
      </c>
      <c r="H4" s="7">
        <v>705.9</v>
      </c>
      <c r="I4" s="7">
        <v>673.9</v>
      </c>
      <c r="J4" s="7">
        <v>734.5</v>
      </c>
      <c r="K4" s="7">
        <v>679.7</v>
      </c>
      <c r="L4" s="7">
        <v>684.7</v>
      </c>
      <c r="M4" s="7">
        <v>683.6</v>
      </c>
      <c r="N4" s="7">
        <v>700.3</v>
      </c>
      <c r="O4" s="7">
        <v>692.8</v>
      </c>
      <c r="P4" s="7">
        <v>708.9</v>
      </c>
      <c r="Q4" s="7">
        <v>688.4</v>
      </c>
      <c r="R4" s="7">
        <v>703.2</v>
      </c>
      <c r="S4" s="7">
        <v>720.4</v>
      </c>
      <c r="T4" s="7">
        <v>673.5</v>
      </c>
      <c r="U4" s="7">
        <v>693.9</v>
      </c>
      <c r="V4" s="7">
        <v>666.7</v>
      </c>
      <c r="W4" s="7">
        <v>706.5</v>
      </c>
      <c r="X4" s="7">
        <v>718.3</v>
      </c>
      <c r="Y4" s="7">
        <v>687</v>
      </c>
      <c r="Z4" s="7">
        <v>726</v>
      </c>
      <c r="AA4" s="7">
        <v>707.7</v>
      </c>
      <c r="AB4" s="7">
        <v>701.1</v>
      </c>
      <c r="AC4" s="7">
        <v>681.6</v>
      </c>
      <c r="AD4" s="7">
        <v>696.4</v>
      </c>
      <c r="AE4" s="7">
        <v>688.9</v>
      </c>
      <c r="AF4" s="7">
        <v>684.7</v>
      </c>
      <c r="AG4" s="29">
        <v>681.7</v>
      </c>
      <c r="AH4" s="7">
        <v>683.4</v>
      </c>
      <c r="AI4" s="7">
        <v>665.3</v>
      </c>
    </row>
    <row r="5" spans="1:35" s="3" customFormat="1" ht="24.95" customHeight="1">
      <c r="A5" s="51"/>
      <c r="B5" s="7" t="s">
        <v>38</v>
      </c>
      <c r="C5" s="7">
        <f>'2月'!C5+D5</f>
        <v>107398.3</v>
      </c>
      <c r="D5" s="7">
        <f t="shared" si="0"/>
        <v>41485.400000000009</v>
      </c>
      <c r="E5" s="7">
        <f>SUM(E3:E4)</f>
        <v>1378.1</v>
      </c>
      <c r="F5" s="7">
        <f t="shared" ref="F5:AI5" si="1">SUM(F3:F4)</f>
        <v>1364.5</v>
      </c>
      <c r="G5" s="7">
        <f t="shared" si="1"/>
        <v>1402.5</v>
      </c>
      <c r="H5" s="7">
        <f t="shared" si="1"/>
        <v>1386.8</v>
      </c>
      <c r="I5" s="7">
        <f t="shared" si="1"/>
        <v>1258.5999999999999</v>
      </c>
      <c r="J5" s="7">
        <f t="shared" si="1"/>
        <v>1410.4</v>
      </c>
      <c r="K5" s="7">
        <f t="shared" si="1"/>
        <v>1323.3000000000002</v>
      </c>
      <c r="L5" s="7">
        <f t="shared" si="1"/>
        <v>1327.8000000000002</v>
      </c>
      <c r="M5" s="7">
        <f t="shared" si="1"/>
        <v>1275.3000000000002</v>
      </c>
      <c r="N5" s="7">
        <f t="shared" si="1"/>
        <v>1354.6</v>
      </c>
      <c r="O5" s="7">
        <f t="shared" si="1"/>
        <v>1345.3</v>
      </c>
      <c r="P5" s="7">
        <f t="shared" si="1"/>
        <v>1353.1999999999998</v>
      </c>
      <c r="Q5" s="7">
        <f t="shared" si="1"/>
        <v>1347.6</v>
      </c>
      <c r="R5" s="7">
        <f t="shared" si="1"/>
        <v>1335.2</v>
      </c>
      <c r="S5" s="7">
        <f t="shared" si="1"/>
        <v>1367.6</v>
      </c>
      <c r="T5" s="7">
        <f t="shared" si="1"/>
        <v>1269.4000000000001</v>
      </c>
      <c r="U5" s="7">
        <f t="shared" si="1"/>
        <v>1329</v>
      </c>
      <c r="V5" s="7">
        <f t="shared" si="1"/>
        <v>1305.9000000000001</v>
      </c>
      <c r="W5" s="7">
        <f t="shared" si="1"/>
        <v>1377.7</v>
      </c>
      <c r="X5" s="7">
        <f t="shared" si="1"/>
        <v>1383</v>
      </c>
      <c r="Y5" s="7">
        <f t="shared" si="1"/>
        <v>1322.9</v>
      </c>
      <c r="Z5" s="7">
        <f t="shared" si="1"/>
        <v>1378.7</v>
      </c>
      <c r="AA5" s="7">
        <f t="shared" si="1"/>
        <v>1331.2</v>
      </c>
      <c r="AB5" s="7">
        <f t="shared" si="1"/>
        <v>1334.9</v>
      </c>
      <c r="AC5" s="7">
        <f t="shared" si="1"/>
        <v>1331.6</v>
      </c>
      <c r="AD5" s="7">
        <f t="shared" si="1"/>
        <v>1331</v>
      </c>
      <c r="AE5" s="7">
        <f t="shared" si="1"/>
        <v>1333.6</v>
      </c>
      <c r="AF5" s="7">
        <f t="shared" si="1"/>
        <v>1313.3000000000002</v>
      </c>
      <c r="AG5" s="7">
        <f t="shared" si="1"/>
        <v>1341.4</v>
      </c>
      <c r="AH5" s="7">
        <f t="shared" si="1"/>
        <v>1299.3</v>
      </c>
      <c r="AI5" s="7">
        <f t="shared" si="1"/>
        <v>1271.6999999999998</v>
      </c>
    </row>
    <row r="6" spans="1:35" s="3" customFormat="1" ht="24.95" customHeight="1">
      <c r="A6" s="51" t="s">
        <v>39</v>
      </c>
      <c r="B6" s="7" t="s">
        <v>40</v>
      </c>
      <c r="C6" s="7">
        <f>'2月'!C6+D6</f>
        <v>24386000</v>
      </c>
      <c r="D6" s="7">
        <f t="shared" si="0"/>
        <v>9646000</v>
      </c>
      <c r="E6" s="7">
        <v>300000</v>
      </c>
      <c r="F6" s="7">
        <v>312000</v>
      </c>
      <c r="G6" s="7">
        <v>314000</v>
      </c>
      <c r="H6" s="7">
        <v>320000</v>
      </c>
      <c r="I6" s="7">
        <v>318000</v>
      </c>
      <c r="J6" s="7">
        <v>316000</v>
      </c>
      <c r="K6" s="7">
        <v>312000</v>
      </c>
      <c r="L6" s="7">
        <v>320000</v>
      </c>
      <c r="M6" s="7">
        <v>310000</v>
      </c>
      <c r="N6" s="7">
        <v>312000</v>
      </c>
      <c r="O6" s="7">
        <v>308000</v>
      </c>
      <c r="P6" s="26">
        <v>310000</v>
      </c>
      <c r="Q6" s="7">
        <v>306000</v>
      </c>
      <c r="R6" s="7">
        <v>308000</v>
      </c>
      <c r="S6" s="7">
        <v>312000</v>
      </c>
      <c r="T6" s="7">
        <v>310000</v>
      </c>
      <c r="U6" s="26">
        <v>304000</v>
      </c>
      <c r="V6" s="26">
        <v>304000</v>
      </c>
      <c r="W6" s="7">
        <v>306000</v>
      </c>
      <c r="X6" s="7">
        <v>316000</v>
      </c>
      <c r="Y6" s="7">
        <v>314000</v>
      </c>
      <c r="Z6" s="7">
        <v>308000</v>
      </c>
      <c r="AA6" s="7">
        <v>314000</v>
      </c>
      <c r="AB6" s="7">
        <v>302000</v>
      </c>
      <c r="AC6" s="7">
        <v>312000</v>
      </c>
      <c r="AD6" s="7">
        <v>326000</v>
      </c>
      <c r="AE6" s="7">
        <v>308000</v>
      </c>
      <c r="AF6" s="7">
        <v>310000</v>
      </c>
      <c r="AG6" s="7">
        <v>308000</v>
      </c>
      <c r="AH6" s="7">
        <v>316000</v>
      </c>
      <c r="AI6" s="7">
        <v>310000</v>
      </c>
    </row>
    <row r="7" spans="1:35" s="3" customFormat="1" ht="24.95" customHeight="1">
      <c r="A7" s="51"/>
      <c r="B7" s="7" t="s">
        <v>41</v>
      </c>
      <c r="C7" s="7">
        <f>'2月'!C7+D7</f>
        <v>31614000</v>
      </c>
      <c r="D7" s="27">
        <f t="shared" si="0"/>
        <v>11252000</v>
      </c>
      <c r="E7" s="7">
        <v>354000</v>
      </c>
      <c r="F7" s="7">
        <v>370000</v>
      </c>
      <c r="G7" s="7">
        <v>362000</v>
      </c>
      <c r="H7" s="7">
        <v>364000</v>
      </c>
      <c r="I7" s="7">
        <v>366000</v>
      </c>
      <c r="J7" s="7">
        <v>360000</v>
      </c>
      <c r="K7" s="7">
        <v>368000</v>
      </c>
      <c r="L7" s="7">
        <v>366000</v>
      </c>
      <c r="M7" s="7">
        <v>370000</v>
      </c>
      <c r="N7" s="7">
        <v>368000</v>
      </c>
      <c r="O7" s="7">
        <v>370000</v>
      </c>
      <c r="P7" s="26">
        <v>360000</v>
      </c>
      <c r="Q7" s="7">
        <v>368000</v>
      </c>
      <c r="R7" s="7">
        <v>368000</v>
      </c>
      <c r="S7" s="7">
        <v>364000</v>
      </c>
      <c r="T7" s="7">
        <v>364000</v>
      </c>
      <c r="U7" s="7">
        <v>368000</v>
      </c>
      <c r="V7" s="7">
        <v>352000</v>
      </c>
      <c r="W7" s="7">
        <v>360000</v>
      </c>
      <c r="X7" s="7">
        <v>352000</v>
      </c>
      <c r="Y7" s="7">
        <v>368000</v>
      </c>
      <c r="Z7" s="7">
        <v>370000</v>
      </c>
      <c r="AA7" s="7">
        <v>362000</v>
      </c>
      <c r="AB7" s="7">
        <v>370000</v>
      </c>
      <c r="AC7" s="7">
        <v>366000</v>
      </c>
      <c r="AD7" s="7">
        <v>350000</v>
      </c>
      <c r="AE7" s="7">
        <v>362000</v>
      </c>
      <c r="AF7" s="7">
        <v>356000</v>
      </c>
      <c r="AG7" s="7">
        <v>360000</v>
      </c>
      <c r="AH7" s="7">
        <v>352000</v>
      </c>
      <c r="AI7" s="26">
        <v>362000</v>
      </c>
    </row>
    <row r="8" spans="1:35" s="3" customFormat="1" ht="24.95" customHeight="1">
      <c r="A8" s="51"/>
      <c r="B8" s="7" t="s">
        <v>38</v>
      </c>
      <c r="C8" s="7">
        <f>'2月'!C8+D8</f>
        <v>56000000</v>
      </c>
      <c r="D8" s="7">
        <f t="shared" si="0"/>
        <v>20898000</v>
      </c>
      <c r="E8" s="7">
        <f t="shared" ref="E8:AI8" si="2">SUM(E6:E7)</f>
        <v>654000</v>
      </c>
      <c r="F8" s="7">
        <f t="shared" si="2"/>
        <v>682000</v>
      </c>
      <c r="G8" s="7">
        <f t="shared" si="2"/>
        <v>676000</v>
      </c>
      <c r="H8" s="7">
        <f t="shared" si="2"/>
        <v>684000</v>
      </c>
      <c r="I8" s="7">
        <f t="shared" si="2"/>
        <v>684000</v>
      </c>
      <c r="J8" s="7">
        <f t="shared" si="2"/>
        <v>676000</v>
      </c>
      <c r="K8" s="7">
        <f t="shared" si="2"/>
        <v>680000</v>
      </c>
      <c r="L8" s="7">
        <f t="shared" si="2"/>
        <v>686000</v>
      </c>
      <c r="M8" s="7">
        <f t="shared" si="2"/>
        <v>680000</v>
      </c>
      <c r="N8" s="7">
        <f t="shared" si="2"/>
        <v>680000</v>
      </c>
      <c r="O8" s="7">
        <f t="shared" si="2"/>
        <v>678000</v>
      </c>
      <c r="P8" s="7">
        <f t="shared" si="2"/>
        <v>670000</v>
      </c>
      <c r="Q8" s="7">
        <f t="shared" si="2"/>
        <v>674000</v>
      </c>
      <c r="R8" s="7">
        <f t="shared" si="2"/>
        <v>676000</v>
      </c>
      <c r="S8" s="7">
        <f t="shared" si="2"/>
        <v>676000</v>
      </c>
      <c r="T8" s="7">
        <f t="shared" si="2"/>
        <v>674000</v>
      </c>
      <c r="U8" s="7">
        <f t="shared" si="2"/>
        <v>672000</v>
      </c>
      <c r="V8" s="7">
        <f t="shared" si="2"/>
        <v>656000</v>
      </c>
      <c r="W8" s="7">
        <f t="shared" si="2"/>
        <v>666000</v>
      </c>
      <c r="X8" s="7">
        <f t="shared" si="2"/>
        <v>668000</v>
      </c>
      <c r="Y8" s="7">
        <f t="shared" si="2"/>
        <v>682000</v>
      </c>
      <c r="Z8" s="7">
        <f t="shared" si="2"/>
        <v>678000</v>
      </c>
      <c r="AA8" s="7">
        <f t="shared" si="2"/>
        <v>676000</v>
      </c>
      <c r="AB8" s="7">
        <f t="shared" si="2"/>
        <v>672000</v>
      </c>
      <c r="AC8" s="7">
        <f t="shared" si="2"/>
        <v>678000</v>
      </c>
      <c r="AD8" s="7">
        <f t="shared" si="2"/>
        <v>676000</v>
      </c>
      <c r="AE8" s="7">
        <f t="shared" si="2"/>
        <v>670000</v>
      </c>
      <c r="AF8" s="7">
        <f t="shared" si="2"/>
        <v>666000</v>
      </c>
      <c r="AG8" s="7">
        <f t="shared" si="2"/>
        <v>668000</v>
      </c>
      <c r="AH8" s="7">
        <f t="shared" si="2"/>
        <v>668000</v>
      </c>
      <c r="AI8" s="7">
        <f t="shared" si="2"/>
        <v>672000</v>
      </c>
    </row>
    <row r="9" spans="1:35" s="3" customFormat="1" ht="24.95" customHeight="1">
      <c r="A9" s="51" t="s">
        <v>42</v>
      </c>
      <c r="B9" s="7" t="s">
        <v>38</v>
      </c>
      <c r="C9" s="7">
        <f>'2月'!C9+D9</f>
        <v>48684000</v>
      </c>
      <c r="D9" s="7">
        <f t="shared" si="0"/>
        <v>18292000</v>
      </c>
      <c r="E9" s="7">
        <v>572000</v>
      </c>
      <c r="F9" s="7">
        <v>598000</v>
      </c>
      <c r="G9" s="7">
        <v>594000</v>
      </c>
      <c r="H9" s="7">
        <v>602000</v>
      </c>
      <c r="I9" s="7">
        <v>602000</v>
      </c>
      <c r="J9" s="7">
        <v>592000</v>
      </c>
      <c r="K9" s="7">
        <v>596000</v>
      </c>
      <c r="L9" s="7">
        <v>606000</v>
      </c>
      <c r="M9" s="7">
        <v>594000</v>
      </c>
      <c r="N9" s="7">
        <v>596000</v>
      </c>
      <c r="O9" s="7">
        <v>594000</v>
      </c>
      <c r="P9" s="7">
        <v>588000</v>
      </c>
      <c r="Q9" s="7">
        <v>594000</v>
      </c>
      <c r="R9" s="7">
        <v>590000</v>
      </c>
      <c r="S9" s="7">
        <v>592000</v>
      </c>
      <c r="T9" s="7">
        <v>588000</v>
      </c>
      <c r="U9" s="7">
        <v>590000</v>
      </c>
      <c r="V9" s="7">
        <v>570000</v>
      </c>
      <c r="W9" s="7">
        <v>582000</v>
      </c>
      <c r="X9" s="7">
        <v>582000</v>
      </c>
      <c r="Y9" s="7">
        <v>596000</v>
      </c>
      <c r="Z9" s="7">
        <v>596000</v>
      </c>
      <c r="AA9" s="7">
        <v>592000</v>
      </c>
      <c r="AB9" s="7">
        <v>588000</v>
      </c>
      <c r="AC9" s="7">
        <v>594000</v>
      </c>
      <c r="AD9" s="7">
        <v>594000</v>
      </c>
      <c r="AE9" s="7">
        <v>584000</v>
      </c>
      <c r="AF9" s="7">
        <v>582000</v>
      </c>
      <c r="AG9" s="7">
        <v>580000</v>
      </c>
      <c r="AH9" s="7">
        <v>584000</v>
      </c>
      <c r="AI9" s="7">
        <v>580000</v>
      </c>
    </row>
    <row r="10" spans="1:35" s="3" customFormat="1" ht="24.95" customHeight="1">
      <c r="A10" s="51"/>
      <c r="B10" s="6" t="s">
        <v>43</v>
      </c>
      <c r="C10" s="8">
        <f>C8/C5</f>
        <v>521.42352346359303</v>
      </c>
      <c r="D10" s="8">
        <f>D8/D5</f>
        <v>503.74348566001521</v>
      </c>
      <c r="E10" s="8">
        <f t="shared" ref="E10:AI10" si="3">SUM(E8/E5)</f>
        <v>474.56643204411876</v>
      </c>
      <c r="F10" s="8">
        <f t="shared" si="3"/>
        <v>499.81678270428728</v>
      </c>
      <c r="G10" s="8">
        <f t="shared" si="3"/>
        <v>481.99643493761141</v>
      </c>
      <c r="H10" s="8">
        <f t="shared" si="3"/>
        <v>493.22180559561582</v>
      </c>
      <c r="I10" s="8">
        <f t="shared" si="3"/>
        <v>543.46098839980937</v>
      </c>
      <c r="J10" s="8">
        <f t="shared" si="3"/>
        <v>479.29665343165055</v>
      </c>
      <c r="K10" s="8">
        <f t="shared" si="3"/>
        <v>513.86684803143646</v>
      </c>
      <c r="L10" s="8">
        <f t="shared" si="3"/>
        <v>516.64407290254553</v>
      </c>
      <c r="M10" s="8">
        <f t="shared" si="3"/>
        <v>533.20787265741387</v>
      </c>
      <c r="N10" s="8">
        <f t="shared" si="3"/>
        <v>501.99320832718149</v>
      </c>
      <c r="O10" s="8">
        <f t="shared" si="3"/>
        <v>503.97680814688175</v>
      </c>
      <c r="P10" s="8">
        <f t="shared" si="3"/>
        <v>495.12267218445174</v>
      </c>
      <c r="Q10" s="8">
        <f t="shared" si="3"/>
        <v>500.14841199168899</v>
      </c>
      <c r="R10" s="8">
        <f t="shared" si="3"/>
        <v>506.29119233073698</v>
      </c>
      <c r="S10" s="8">
        <f t="shared" si="3"/>
        <v>494.29657794676808</v>
      </c>
      <c r="T10" s="8">
        <f t="shared" si="3"/>
        <v>530.9595084291791</v>
      </c>
      <c r="U10" s="8">
        <f t="shared" si="3"/>
        <v>505.64334085778779</v>
      </c>
      <c r="V10" s="8">
        <f t="shared" si="3"/>
        <v>502.33555402404471</v>
      </c>
      <c r="W10" s="8">
        <f t="shared" si="3"/>
        <v>483.41438629600054</v>
      </c>
      <c r="X10" s="8">
        <f t="shared" si="3"/>
        <v>483.00795372378889</v>
      </c>
      <c r="Y10" s="8">
        <f t="shared" si="3"/>
        <v>515.53405397233348</v>
      </c>
      <c r="Z10" s="8">
        <f t="shared" si="3"/>
        <v>491.76760716617099</v>
      </c>
      <c r="AA10" s="8">
        <f t="shared" si="3"/>
        <v>507.8125</v>
      </c>
      <c r="AB10" s="8">
        <f t="shared" si="3"/>
        <v>503.40849501835339</v>
      </c>
      <c r="AC10" s="8">
        <f t="shared" si="3"/>
        <v>509.16191048362873</v>
      </c>
      <c r="AD10" s="8">
        <f t="shared" si="3"/>
        <v>507.88880540946656</v>
      </c>
      <c r="AE10" s="8">
        <f t="shared" si="3"/>
        <v>502.39952009598085</v>
      </c>
      <c r="AF10" s="8">
        <f t="shared" si="3"/>
        <v>507.11947003731052</v>
      </c>
      <c r="AG10" s="8">
        <f t="shared" si="3"/>
        <v>497.9871775756672</v>
      </c>
      <c r="AH10" s="8">
        <f t="shared" si="3"/>
        <v>514.12298930193185</v>
      </c>
      <c r="AI10" s="8">
        <f t="shared" si="3"/>
        <v>528.42651568766223</v>
      </c>
    </row>
    <row r="11" spans="1:35" s="3" customFormat="1" ht="24.95" customHeight="1">
      <c r="A11" s="51"/>
      <c r="B11" s="9" t="s">
        <v>44</v>
      </c>
      <c r="C11" s="8">
        <f>(C8-C16)/C5</f>
        <v>453.28464230811846</v>
      </c>
      <c r="D11" s="8">
        <f>(D8-D16)/D5</f>
        <v>440.92620536381463</v>
      </c>
      <c r="E11" s="8">
        <f>SUM(E9/E5)</f>
        <v>415.0642188520427</v>
      </c>
      <c r="F11" s="8">
        <f>SUM(F9/F5)</f>
        <v>438.25577134481495</v>
      </c>
      <c r="G11" s="8">
        <f>SUM(G9/G5)</f>
        <v>423.52941176470586</v>
      </c>
      <c r="H11" s="8">
        <f>SUM(H9/H5)</f>
        <v>434.09287568503032</v>
      </c>
      <c r="I11" s="8">
        <f>SUM(I9/I5)</f>
        <v>478.30923248053398</v>
      </c>
      <c r="J11" s="8">
        <f>SUM(J9/J5)</f>
        <v>419.73908111174131</v>
      </c>
      <c r="K11" s="8">
        <f>SUM(K9/K5)</f>
        <v>450.38917856872962</v>
      </c>
      <c r="L11" s="8">
        <f>SUM(L9/L5)</f>
        <v>456.39403524627198</v>
      </c>
      <c r="M11" s="8">
        <f>SUM(M9/M5)</f>
        <v>465.77275935074096</v>
      </c>
      <c r="N11" s="8">
        <f>SUM(N9/N5)</f>
        <v>439.98228259264732</v>
      </c>
      <c r="O11" s="8">
        <f>SUM(O9/O5)</f>
        <v>441.53720359771057</v>
      </c>
      <c r="P11" s="8">
        <f>SUM(P9/P5)</f>
        <v>434.52556902157852</v>
      </c>
      <c r="Q11" s="8">
        <f>SUM(Q9/Q5)</f>
        <v>440.78361531611756</v>
      </c>
      <c r="R11" s="8">
        <f>SUM(R9/R5)</f>
        <v>441.88136608747749</v>
      </c>
      <c r="S11" s="8">
        <f>SUM(S9/S5)</f>
        <v>432.87510968119335</v>
      </c>
      <c r="T11" s="8">
        <f>SUM(T9/T5)</f>
        <v>463.21096581061914</v>
      </c>
      <c r="U11" s="8">
        <f>SUM(U9/U5)</f>
        <v>443.94281414597441</v>
      </c>
      <c r="V11" s="8">
        <f>SUM(V9/V5)</f>
        <v>436.48058810016079</v>
      </c>
      <c r="W11" s="8">
        <f>SUM(W9/W5)</f>
        <v>422.44320243884732</v>
      </c>
      <c r="X11" s="8">
        <f>SUM(X9/X5)</f>
        <v>420.82429501084601</v>
      </c>
      <c r="Y11" s="8">
        <f>SUM(Y9/Y5)</f>
        <v>450.52536094942923</v>
      </c>
      <c r="Z11" s="8">
        <f>SUM(Z9/Z5)</f>
        <v>432.29128889533615</v>
      </c>
      <c r="AA11" s="8">
        <f>SUM(AA9/AA5)</f>
        <v>444.71153846153845</v>
      </c>
      <c r="AB11" s="8">
        <f>SUM(AB9/AB5)</f>
        <v>440.48243314105923</v>
      </c>
      <c r="AC11" s="8">
        <f>SUM(AC9/AC5)</f>
        <v>446.07990387503759</v>
      </c>
      <c r="AD11" s="8">
        <f>SUM(AD9/AD5)</f>
        <v>446.28099173553721</v>
      </c>
      <c r="AE11" s="8">
        <f>SUM(AE9/AE5)</f>
        <v>437.9124175164967</v>
      </c>
      <c r="AF11" s="8">
        <f>SUM(AF9/AF5)</f>
        <v>443.15845579837048</v>
      </c>
      <c r="AG11" s="8">
        <f>SUM(AG9/AG5)</f>
        <v>432.38407633815416</v>
      </c>
      <c r="AH11" s="8">
        <f>SUM(AH9/AH5)</f>
        <v>449.47279304240749</v>
      </c>
      <c r="AI11" s="8">
        <f>SUM(AI9/AI5)</f>
        <v>456.08240937327992</v>
      </c>
    </row>
    <row r="12" spans="1:35" s="3" customFormat="1" ht="24.95" customHeight="1">
      <c r="A12" s="51"/>
      <c r="B12" s="6" t="s">
        <v>45</v>
      </c>
      <c r="C12" s="8">
        <f>'2月'!C12+D12</f>
        <v>115018.05600000001</v>
      </c>
      <c r="D12" s="8">
        <f t="shared" ref="D12:D16" si="4">SUM(E12:AI12)</f>
        <v>44544.98000000001</v>
      </c>
      <c r="E12" s="7">
        <v>1415.7</v>
      </c>
      <c r="F12" s="7">
        <v>1324.48</v>
      </c>
      <c r="G12" s="7">
        <v>1331.1</v>
      </c>
      <c r="H12" s="7">
        <v>1304.8599999999999</v>
      </c>
      <c r="I12" s="7">
        <v>1301.54</v>
      </c>
      <c r="J12" s="7">
        <v>1649.98</v>
      </c>
      <c r="K12" s="7">
        <v>1611.54</v>
      </c>
      <c r="L12" s="7">
        <v>1581.42</v>
      </c>
      <c r="M12" s="7">
        <v>1579.24</v>
      </c>
      <c r="N12" s="7">
        <v>1533.38</v>
      </c>
      <c r="O12" s="7">
        <v>1518.46</v>
      </c>
      <c r="P12" s="7">
        <v>1526.34</v>
      </c>
      <c r="Q12" s="7">
        <v>1438.56</v>
      </c>
      <c r="R12" s="7">
        <v>1480.24</v>
      </c>
      <c r="S12" s="7">
        <v>1556.46</v>
      </c>
      <c r="T12" s="7">
        <v>1319.58</v>
      </c>
      <c r="U12" s="7">
        <v>1420.92</v>
      </c>
      <c r="V12" s="7">
        <v>1433.84</v>
      </c>
      <c r="W12" s="7">
        <v>1483.88</v>
      </c>
      <c r="X12" s="7">
        <v>1487.3</v>
      </c>
      <c r="Y12" s="7">
        <v>1213.5999999999999</v>
      </c>
      <c r="Z12" s="7">
        <v>1238.1199999999999</v>
      </c>
      <c r="AA12" s="7">
        <v>1132.94</v>
      </c>
      <c r="AB12" s="7">
        <v>1324.78</v>
      </c>
      <c r="AC12" s="7">
        <v>1372.54</v>
      </c>
      <c r="AD12" s="12">
        <v>1341.76</v>
      </c>
      <c r="AE12" s="12">
        <v>1442.76</v>
      </c>
      <c r="AF12" s="7">
        <v>1528.68</v>
      </c>
      <c r="AG12" s="7">
        <v>1457.42</v>
      </c>
      <c r="AH12" s="7">
        <v>1573.44</v>
      </c>
      <c r="AI12" s="7">
        <v>1620.12</v>
      </c>
    </row>
    <row r="13" spans="1:35" s="3" customFormat="1" ht="24.95" customHeight="1">
      <c r="A13" s="52" t="s">
        <v>46</v>
      </c>
      <c r="B13" s="6" t="s">
        <v>36</v>
      </c>
      <c r="C13" s="8">
        <f>'2月'!C13+D13</f>
        <v>122944</v>
      </c>
      <c r="D13" s="10">
        <f t="shared" si="4"/>
        <v>44473</v>
      </c>
      <c r="E13" s="7">
        <v>1435</v>
      </c>
      <c r="F13" s="7">
        <v>1437</v>
      </c>
      <c r="G13" s="7">
        <v>1437</v>
      </c>
      <c r="H13" s="7">
        <v>1433</v>
      </c>
      <c r="I13" s="7">
        <v>1441</v>
      </c>
      <c r="J13" s="7">
        <v>1436</v>
      </c>
      <c r="K13" s="7">
        <v>1446</v>
      </c>
      <c r="L13" s="7">
        <v>1423</v>
      </c>
      <c r="M13" s="27">
        <v>1430</v>
      </c>
      <c r="N13" s="7">
        <v>1446</v>
      </c>
      <c r="O13" s="7">
        <v>1432</v>
      </c>
      <c r="P13" s="27">
        <v>1437</v>
      </c>
      <c r="Q13" s="7">
        <v>1438</v>
      </c>
      <c r="R13" s="7">
        <v>1436</v>
      </c>
      <c r="S13" s="7">
        <v>1434</v>
      </c>
      <c r="T13" s="7">
        <v>1447</v>
      </c>
      <c r="U13" s="7">
        <v>1436</v>
      </c>
      <c r="V13" s="7">
        <v>1426</v>
      </c>
      <c r="W13" s="7">
        <v>1435</v>
      </c>
      <c r="X13" s="7">
        <v>1435</v>
      </c>
      <c r="Y13" s="7">
        <v>1430</v>
      </c>
      <c r="Z13" s="7">
        <v>1445</v>
      </c>
      <c r="AA13" s="7">
        <v>1408</v>
      </c>
      <c r="AB13" s="7">
        <v>1434</v>
      </c>
      <c r="AC13" s="7">
        <v>1459</v>
      </c>
      <c r="AD13" s="7">
        <v>1417</v>
      </c>
      <c r="AE13" s="7">
        <v>1436</v>
      </c>
      <c r="AF13" s="7">
        <v>1439</v>
      </c>
      <c r="AG13" s="7">
        <v>1418</v>
      </c>
      <c r="AH13" s="7">
        <v>1426</v>
      </c>
      <c r="AI13" s="7">
        <v>1441</v>
      </c>
    </row>
    <row r="14" spans="1:35" s="3" customFormat="1" ht="24.95" customHeight="1">
      <c r="A14" s="55"/>
      <c r="B14" s="6" t="s">
        <v>37</v>
      </c>
      <c r="C14" s="8">
        <f>'2月'!C14+D14</f>
        <v>128477</v>
      </c>
      <c r="D14" s="10">
        <f t="shared" si="4"/>
        <v>47859</v>
      </c>
      <c r="E14" s="7">
        <v>1472</v>
      </c>
      <c r="F14" s="7">
        <v>1535</v>
      </c>
      <c r="G14" s="7">
        <v>1520</v>
      </c>
      <c r="H14" s="7">
        <v>1555</v>
      </c>
      <c r="I14" s="7">
        <v>1552</v>
      </c>
      <c r="J14" s="7">
        <v>1556</v>
      </c>
      <c r="K14" s="7">
        <v>1554</v>
      </c>
      <c r="L14" s="7">
        <v>1555</v>
      </c>
      <c r="M14" s="27">
        <v>1558</v>
      </c>
      <c r="N14" s="7">
        <v>1553</v>
      </c>
      <c r="O14" s="7">
        <v>1550</v>
      </c>
      <c r="P14" s="27">
        <v>1556</v>
      </c>
      <c r="Q14" s="7">
        <v>1554</v>
      </c>
      <c r="R14" s="7">
        <v>1545</v>
      </c>
      <c r="S14" s="7">
        <v>1555</v>
      </c>
      <c r="T14" s="7">
        <v>1545</v>
      </c>
      <c r="U14" s="7">
        <v>1548</v>
      </c>
      <c r="V14" s="7">
        <v>1491</v>
      </c>
      <c r="W14" s="7">
        <v>1521</v>
      </c>
      <c r="X14" s="7">
        <v>1547</v>
      </c>
      <c r="Y14" s="7">
        <v>1547</v>
      </c>
      <c r="Z14" s="7">
        <v>1550</v>
      </c>
      <c r="AA14" s="7">
        <v>1556</v>
      </c>
      <c r="AB14" s="7">
        <v>1547</v>
      </c>
      <c r="AC14" s="7">
        <v>1550</v>
      </c>
      <c r="AD14" s="7">
        <v>1556</v>
      </c>
      <c r="AE14" s="7">
        <v>1544</v>
      </c>
      <c r="AF14" s="7">
        <v>1553</v>
      </c>
      <c r="AG14" s="7">
        <v>1542</v>
      </c>
      <c r="AH14" s="7">
        <v>1546</v>
      </c>
      <c r="AI14" s="7">
        <v>1546</v>
      </c>
    </row>
    <row r="15" spans="1:35" s="3" customFormat="1" ht="24" customHeight="1">
      <c r="A15" s="56"/>
      <c r="B15" s="7" t="s">
        <v>38</v>
      </c>
      <c r="C15" s="8">
        <f>'2月'!C15+D15</f>
        <v>251421</v>
      </c>
      <c r="D15" s="7">
        <f t="shared" si="4"/>
        <v>92332</v>
      </c>
      <c r="E15" s="7">
        <f>SUM(E13:E14)</f>
        <v>2907</v>
      </c>
      <c r="F15" s="7">
        <f>SUM(F13:F14)</f>
        <v>2972</v>
      </c>
      <c r="G15" s="7">
        <f t="shared" ref="G15:AI15" si="5">SUM(G13:G14)</f>
        <v>2957</v>
      </c>
      <c r="H15" s="7">
        <f t="shared" si="5"/>
        <v>2988</v>
      </c>
      <c r="I15" s="7">
        <f t="shared" si="5"/>
        <v>2993</v>
      </c>
      <c r="J15" s="7">
        <f t="shared" si="5"/>
        <v>2992</v>
      </c>
      <c r="K15" s="7">
        <f t="shared" si="5"/>
        <v>3000</v>
      </c>
      <c r="L15" s="7">
        <f t="shared" si="5"/>
        <v>2978</v>
      </c>
      <c r="M15" s="7">
        <f t="shared" si="5"/>
        <v>2988</v>
      </c>
      <c r="N15" s="7">
        <f t="shared" si="5"/>
        <v>2999</v>
      </c>
      <c r="O15" s="7">
        <f t="shared" si="5"/>
        <v>2982</v>
      </c>
      <c r="P15" s="7">
        <f t="shared" si="5"/>
        <v>2993</v>
      </c>
      <c r="Q15" s="7">
        <f t="shared" si="5"/>
        <v>2992</v>
      </c>
      <c r="R15" s="7">
        <f t="shared" si="5"/>
        <v>2981</v>
      </c>
      <c r="S15" s="7">
        <f t="shared" si="5"/>
        <v>2989</v>
      </c>
      <c r="T15" s="7">
        <f t="shared" si="5"/>
        <v>2992</v>
      </c>
      <c r="U15" s="7">
        <f t="shared" si="5"/>
        <v>2984</v>
      </c>
      <c r="V15" s="7">
        <f t="shared" si="5"/>
        <v>2917</v>
      </c>
      <c r="W15" s="7">
        <f t="shared" si="5"/>
        <v>2956</v>
      </c>
      <c r="X15" s="7">
        <f t="shared" si="5"/>
        <v>2982</v>
      </c>
      <c r="Y15" s="7">
        <f t="shared" si="5"/>
        <v>2977</v>
      </c>
      <c r="Z15" s="7">
        <f t="shared" si="5"/>
        <v>2995</v>
      </c>
      <c r="AA15" s="7">
        <f t="shared" si="5"/>
        <v>2964</v>
      </c>
      <c r="AB15" s="7">
        <f t="shared" si="5"/>
        <v>2981</v>
      </c>
      <c r="AC15" s="7">
        <f t="shared" si="5"/>
        <v>3009</v>
      </c>
      <c r="AD15" s="7">
        <f t="shared" si="5"/>
        <v>2973</v>
      </c>
      <c r="AE15" s="7">
        <f t="shared" si="5"/>
        <v>2980</v>
      </c>
      <c r="AF15" s="7">
        <f t="shared" si="5"/>
        <v>2992</v>
      </c>
      <c r="AG15" s="7">
        <f t="shared" si="5"/>
        <v>2960</v>
      </c>
      <c r="AH15" s="7">
        <f t="shared" si="5"/>
        <v>2972</v>
      </c>
      <c r="AI15" s="7">
        <f t="shared" si="5"/>
        <v>2987</v>
      </c>
    </row>
    <row r="16" spans="1:35" s="3" customFormat="1" ht="24.95" customHeight="1">
      <c r="A16" s="51" t="s">
        <v>47</v>
      </c>
      <c r="B16" s="7" t="s">
        <v>38</v>
      </c>
      <c r="C16" s="8">
        <f>'2月'!C16+D16</f>
        <v>7318000</v>
      </c>
      <c r="D16" s="7">
        <f t="shared" si="4"/>
        <v>2606000</v>
      </c>
      <c r="E16" s="7">
        <v>82000</v>
      </c>
      <c r="F16" s="7">
        <v>84000</v>
      </c>
      <c r="G16" s="7">
        <v>82000</v>
      </c>
      <c r="H16" s="7">
        <v>82000</v>
      </c>
      <c r="I16" s="7">
        <v>82000</v>
      </c>
      <c r="J16" s="7">
        <v>84000</v>
      </c>
      <c r="K16" s="7">
        <v>84000</v>
      </c>
      <c r="L16" s="7">
        <v>80000</v>
      </c>
      <c r="M16" s="7">
        <v>86000</v>
      </c>
      <c r="N16" s="7">
        <v>84000</v>
      </c>
      <c r="O16" s="7">
        <v>84000</v>
      </c>
      <c r="P16" s="7">
        <v>82000</v>
      </c>
      <c r="Q16" s="7">
        <v>80000</v>
      </c>
      <c r="R16" s="7">
        <v>86000</v>
      </c>
      <c r="S16" s="7">
        <v>84000</v>
      </c>
      <c r="T16" s="7">
        <v>86000</v>
      </c>
      <c r="U16" s="7">
        <v>82000</v>
      </c>
      <c r="V16" s="7">
        <v>86000</v>
      </c>
      <c r="W16" s="7">
        <v>84000</v>
      </c>
      <c r="X16" s="7">
        <v>86000</v>
      </c>
      <c r="Y16" s="7">
        <v>86000</v>
      </c>
      <c r="Z16" s="7">
        <v>82000</v>
      </c>
      <c r="AA16" s="7">
        <v>84000</v>
      </c>
      <c r="AB16" s="7">
        <v>84000</v>
      </c>
      <c r="AC16" s="7">
        <v>84000</v>
      </c>
      <c r="AD16" s="7">
        <v>82000</v>
      </c>
      <c r="AE16" s="7">
        <v>86000</v>
      </c>
      <c r="AF16" s="7">
        <v>84000</v>
      </c>
      <c r="AG16" s="7">
        <v>88000</v>
      </c>
      <c r="AH16" s="7">
        <v>84000</v>
      </c>
      <c r="AI16" s="7">
        <v>92000</v>
      </c>
    </row>
    <row r="17" spans="1:35" s="3" customFormat="1" ht="24.95" customHeight="1">
      <c r="A17" s="51"/>
      <c r="B17" s="6" t="s">
        <v>48</v>
      </c>
      <c r="C17" s="11">
        <f>SUM(C16/C8)</f>
        <v>0.13067857142857142</v>
      </c>
      <c r="D17" s="11">
        <f>SUM(D16/D8)</f>
        <v>0.12470092831849938</v>
      </c>
      <c r="E17" s="11">
        <f>SUM(E16/E8)</f>
        <v>0.12538226299694188</v>
      </c>
      <c r="F17" s="11">
        <f>SUM(F16/F8)</f>
        <v>0.12316715542521994</v>
      </c>
      <c r="G17" s="11">
        <f>SUM(G16/G8)</f>
        <v>0.12130177514792899</v>
      </c>
      <c r="H17" s="11">
        <f>SUM(H16/H8)</f>
        <v>0.11988304093567251</v>
      </c>
      <c r="I17" s="11">
        <f>SUM(I16/I8)</f>
        <v>0.11988304093567251</v>
      </c>
      <c r="J17" s="11">
        <f>SUM(J16/J8)</f>
        <v>0.1242603550295858</v>
      </c>
      <c r="K17" s="11">
        <f>SUM(K16/K8)</f>
        <v>0.12352941176470589</v>
      </c>
      <c r="L17" s="11">
        <f>SUM(L16/L8)</f>
        <v>0.11661807580174927</v>
      </c>
      <c r="M17" s="11">
        <f>SUM(M16/M8)</f>
        <v>0.12647058823529411</v>
      </c>
      <c r="N17" s="11">
        <f>SUM(N16/N8)</f>
        <v>0.12352941176470589</v>
      </c>
      <c r="O17" s="11">
        <f>SUM(O16/O8)</f>
        <v>0.12389380530973451</v>
      </c>
      <c r="P17" s="11">
        <f>SUM(P16/P8)</f>
        <v>0.12238805970149254</v>
      </c>
      <c r="Q17" s="11">
        <f>SUM(Q16/Q8)</f>
        <v>0.11869436201780416</v>
      </c>
      <c r="R17" s="11">
        <f>SUM(R16/R8)</f>
        <v>0.12721893491124261</v>
      </c>
      <c r="S17" s="11">
        <f>SUM(S16/S8)</f>
        <v>0.1242603550295858</v>
      </c>
      <c r="T17" s="11">
        <f>SUM(T16/T8)</f>
        <v>0.12759643916913946</v>
      </c>
      <c r="U17" s="11">
        <f>SUM(U16/U8)</f>
        <v>0.12202380952380952</v>
      </c>
      <c r="V17" s="11">
        <f>SUM(V16/V8)</f>
        <v>0.13109756097560976</v>
      </c>
      <c r="W17" s="11">
        <f>SUM(W16/W8)</f>
        <v>0.12612612612612611</v>
      </c>
      <c r="X17" s="11">
        <f>SUM(X16/X8)</f>
        <v>0.12874251497005987</v>
      </c>
      <c r="Y17" s="11">
        <f>SUM(Y16/Y8)</f>
        <v>0.12609970674486803</v>
      </c>
      <c r="Z17" s="11">
        <f>SUM(Z16/Z8)</f>
        <v>0.12094395280235988</v>
      </c>
      <c r="AA17" s="11">
        <f>SUM(AA16/AA8)</f>
        <v>0.1242603550295858</v>
      </c>
      <c r="AB17" s="11">
        <f>SUM(AB16/AB8)</f>
        <v>0.125</v>
      </c>
      <c r="AC17" s="11">
        <f>SUM(AC16/AC8)</f>
        <v>0.12389380530973451</v>
      </c>
      <c r="AD17" s="11">
        <f>SUM(AD16/AD8)</f>
        <v>0.12130177514792899</v>
      </c>
      <c r="AE17" s="11">
        <f>SUM(AE16/AE8)</f>
        <v>0.12835820895522387</v>
      </c>
      <c r="AF17" s="11">
        <f>SUM(AF16/AF8)</f>
        <v>0.12612612612612611</v>
      </c>
      <c r="AG17" s="11">
        <f>SUM(AG16/AG8)</f>
        <v>0.1317365269461078</v>
      </c>
      <c r="AH17" s="11">
        <f>SUM(AH16/AH8)</f>
        <v>0.12574850299401197</v>
      </c>
      <c r="AI17" s="11">
        <f>SUM(AI16/AI8)</f>
        <v>0.13690476190476192</v>
      </c>
    </row>
    <row r="18" spans="1:35" s="3" customFormat="1" ht="24.95" customHeight="1">
      <c r="A18" s="13"/>
      <c r="B18" s="13" t="s">
        <v>49</v>
      </c>
      <c r="C18" s="7"/>
      <c r="D18" s="7">
        <f t="shared" ref="D18" si="6">COUNT(E18:AI18)</f>
        <v>31</v>
      </c>
      <c r="E18" s="14">
        <v>11700</v>
      </c>
      <c r="F18" s="14">
        <v>11400</v>
      </c>
      <c r="G18" s="14">
        <v>11300</v>
      </c>
      <c r="H18" s="14">
        <v>10800</v>
      </c>
      <c r="I18" s="14">
        <v>10800</v>
      </c>
      <c r="J18" s="7">
        <v>10800</v>
      </c>
      <c r="K18" s="14">
        <v>10800</v>
      </c>
      <c r="L18" s="7">
        <v>10900</v>
      </c>
      <c r="M18" s="7">
        <v>11000</v>
      </c>
      <c r="N18" s="7">
        <v>11000</v>
      </c>
      <c r="O18" s="7">
        <v>11000</v>
      </c>
      <c r="P18" s="7">
        <v>10800</v>
      </c>
      <c r="Q18" s="7">
        <v>10700</v>
      </c>
      <c r="R18" s="7">
        <v>10600</v>
      </c>
      <c r="S18" s="7">
        <v>10600</v>
      </c>
      <c r="T18" s="7">
        <v>10500</v>
      </c>
      <c r="U18" s="7">
        <v>10400</v>
      </c>
      <c r="V18" s="7">
        <v>10300</v>
      </c>
      <c r="W18" s="7">
        <v>10200</v>
      </c>
      <c r="X18" s="7">
        <v>10300</v>
      </c>
      <c r="Y18" s="7">
        <v>9900</v>
      </c>
      <c r="Z18" s="7">
        <v>9500</v>
      </c>
      <c r="AA18" s="7">
        <v>9200</v>
      </c>
      <c r="AB18" s="7">
        <v>9100</v>
      </c>
      <c r="AC18" s="7">
        <v>8900</v>
      </c>
      <c r="AD18" s="7">
        <v>8800</v>
      </c>
      <c r="AE18" s="7">
        <v>8700</v>
      </c>
      <c r="AF18" s="7">
        <v>8900</v>
      </c>
      <c r="AG18" s="7">
        <v>8800</v>
      </c>
      <c r="AH18" s="7">
        <v>8900</v>
      </c>
      <c r="AI18" s="7">
        <v>9200</v>
      </c>
    </row>
    <row r="19" spans="1:35" s="3" customFormat="1" ht="24.95" customHeight="1">
      <c r="A19" s="62" t="s">
        <v>50</v>
      </c>
      <c r="B19" s="13" t="s">
        <v>51</v>
      </c>
      <c r="C19" s="7">
        <f>'2月'!C19+D19</f>
        <v>21537.38</v>
      </c>
      <c r="D19" s="7">
        <f t="shared" ref="D19:D32" si="7">SUM(E19:AI19)</f>
        <v>7585.3200000000006</v>
      </c>
      <c r="E19" s="7">
        <v>262.86</v>
      </c>
      <c r="F19" s="15">
        <v>266.52</v>
      </c>
      <c r="G19" s="15">
        <v>242.44</v>
      </c>
      <c r="H19" s="15">
        <v>254.3</v>
      </c>
      <c r="I19" s="15">
        <v>219.46</v>
      </c>
      <c r="J19" s="15">
        <v>269.38</v>
      </c>
      <c r="K19" s="15">
        <v>293</v>
      </c>
      <c r="L19" s="15">
        <v>234.18</v>
      </c>
      <c r="M19" s="15">
        <v>306.48</v>
      </c>
      <c r="N19" s="15">
        <v>263.92</v>
      </c>
      <c r="O19" s="15">
        <v>276.66000000000003</v>
      </c>
      <c r="P19" s="15">
        <v>258.48</v>
      </c>
      <c r="Q19" s="15">
        <v>231.24</v>
      </c>
      <c r="R19" s="17">
        <v>211.08</v>
      </c>
      <c r="S19" s="15">
        <v>255.96</v>
      </c>
      <c r="T19" s="15">
        <v>228.96</v>
      </c>
      <c r="U19" s="15">
        <v>252.14</v>
      </c>
      <c r="V19" s="15">
        <v>210.26</v>
      </c>
      <c r="W19" s="15">
        <v>282.62</v>
      </c>
      <c r="X19" s="15">
        <v>336.08</v>
      </c>
      <c r="Y19" s="15">
        <v>98.82</v>
      </c>
      <c r="Z19" s="15">
        <v>119.48</v>
      </c>
      <c r="AA19" s="15">
        <v>120.8</v>
      </c>
      <c r="AB19" s="15">
        <v>121.38</v>
      </c>
      <c r="AC19" s="15">
        <v>170.76</v>
      </c>
      <c r="AD19" s="15">
        <v>168.96</v>
      </c>
      <c r="AE19" s="15">
        <v>285.48</v>
      </c>
      <c r="AF19" s="15">
        <v>304.2</v>
      </c>
      <c r="AG19" s="15">
        <v>270.86</v>
      </c>
      <c r="AH19" s="15">
        <v>345.72</v>
      </c>
      <c r="AI19" s="15">
        <v>422.84</v>
      </c>
    </row>
    <row r="20" spans="1:35" s="3" customFormat="1" ht="24.95" customHeight="1">
      <c r="A20" s="63"/>
      <c r="B20" s="16" t="s">
        <v>52</v>
      </c>
      <c r="C20" s="7">
        <f>'2月'!C20+D20</f>
        <v>3424.5199999999995</v>
      </c>
      <c r="D20" s="7">
        <f t="shared" si="7"/>
        <v>880.02</v>
      </c>
      <c r="E20" s="17"/>
      <c r="F20" s="15"/>
      <c r="G20" s="15"/>
      <c r="H20" s="15"/>
      <c r="I20" s="15"/>
      <c r="J20" s="15">
        <v>94.36</v>
      </c>
      <c r="K20" s="15">
        <v>76.02</v>
      </c>
      <c r="L20" s="15">
        <v>91.64</v>
      </c>
      <c r="M20" s="15">
        <v>90.44</v>
      </c>
      <c r="N20" s="15">
        <v>88.18</v>
      </c>
      <c r="O20" s="15">
        <v>92.94</v>
      </c>
      <c r="P20" s="15">
        <v>81.84</v>
      </c>
      <c r="Q20" s="15">
        <v>87.04</v>
      </c>
      <c r="R20" s="17">
        <v>90.06</v>
      </c>
      <c r="S20" s="15">
        <v>87.5</v>
      </c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s="3" customFormat="1" ht="24.95" customHeight="1">
      <c r="A21" s="63"/>
      <c r="B21" s="16" t="s">
        <v>53</v>
      </c>
      <c r="C21" s="7">
        <f>'2月'!C21+D21</f>
        <v>0</v>
      </c>
      <c r="D21" s="7">
        <f t="shared" si="7"/>
        <v>0</v>
      </c>
      <c r="E21" s="17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3"/>
      <c r="B22" s="13" t="s">
        <v>54</v>
      </c>
      <c r="C22" s="7">
        <f>'2月'!C22+D22</f>
        <v>0</v>
      </c>
      <c r="D22" s="7">
        <f t="shared" si="7"/>
        <v>0</v>
      </c>
      <c r="E22" s="17"/>
      <c r="F22" s="15"/>
      <c r="G22" s="15"/>
      <c r="H22" s="15"/>
      <c r="I22" s="17"/>
      <c r="J22" s="17"/>
      <c r="K22" s="15"/>
      <c r="L22" s="17"/>
      <c r="M22" s="15"/>
      <c r="N22" s="15"/>
      <c r="O22" s="15"/>
      <c r="P22" s="17"/>
      <c r="Q22" s="15"/>
      <c r="R22" s="17"/>
      <c r="S22" s="15"/>
      <c r="T22" s="17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7"/>
      <c r="AI22" s="15"/>
    </row>
    <row r="23" spans="1:35" s="3" customFormat="1" ht="22.15" customHeight="1">
      <c r="A23" s="63"/>
      <c r="B23" s="13" t="s">
        <v>55</v>
      </c>
      <c r="C23" s="7">
        <f>'2月'!C23+D23</f>
        <v>0</v>
      </c>
      <c r="D23" s="7">
        <f t="shared" si="7"/>
        <v>0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8" t="s">
        <v>56</v>
      </c>
      <c r="C24" s="7">
        <f>'2月'!C24+D24</f>
        <v>0</v>
      </c>
      <c r="D24" s="7">
        <f t="shared" si="7"/>
        <v>0</v>
      </c>
      <c r="E24" s="17"/>
      <c r="F24" s="15"/>
      <c r="G24" s="15"/>
      <c r="H24" s="15"/>
      <c r="I24" s="17"/>
      <c r="J24" s="17"/>
      <c r="K24" s="15"/>
      <c r="L24" s="17"/>
      <c r="M24" s="15"/>
      <c r="N24" s="15"/>
      <c r="O24" s="15"/>
      <c r="P24" s="17"/>
      <c r="Q24" s="15"/>
      <c r="R24" s="17"/>
      <c r="S24" s="15"/>
      <c r="T24" s="17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7"/>
      <c r="AI24" s="15"/>
    </row>
    <row r="25" spans="1:35" s="3" customFormat="1" ht="22.15" customHeight="1">
      <c r="A25" s="63"/>
      <c r="B25" s="16" t="s">
        <v>57</v>
      </c>
      <c r="C25" s="7">
        <f>'2月'!C25+D25</f>
        <v>20029.46</v>
      </c>
      <c r="D25" s="7">
        <f t="shared" si="7"/>
        <v>7400.8399999999992</v>
      </c>
      <c r="E25" s="17">
        <v>235.86</v>
      </c>
      <c r="F25" s="15">
        <v>207.72</v>
      </c>
      <c r="G25" s="15">
        <v>252.84</v>
      </c>
      <c r="H25" s="15">
        <v>239.1</v>
      </c>
      <c r="I25" s="17">
        <v>197.52</v>
      </c>
      <c r="J25" s="17">
        <v>242.16</v>
      </c>
      <c r="K25" s="15">
        <v>227</v>
      </c>
      <c r="L25" s="17">
        <v>259.24</v>
      </c>
      <c r="M25" s="15">
        <v>236.28</v>
      </c>
      <c r="N25" s="15">
        <v>258.16000000000003</v>
      </c>
      <c r="O25" s="15">
        <v>243.64</v>
      </c>
      <c r="P25" s="17">
        <v>263.3</v>
      </c>
      <c r="Q25" s="15">
        <v>234.12</v>
      </c>
      <c r="R25" s="17">
        <v>264.38</v>
      </c>
      <c r="S25" s="15">
        <v>249.94</v>
      </c>
      <c r="T25" s="17">
        <v>236.76</v>
      </c>
      <c r="U25" s="15">
        <v>236.52</v>
      </c>
      <c r="V25" s="15">
        <v>259.10000000000002</v>
      </c>
      <c r="W25" s="15">
        <v>242.82</v>
      </c>
      <c r="X25" s="15">
        <v>239.3</v>
      </c>
      <c r="Y25" s="15">
        <v>215.32</v>
      </c>
      <c r="Z25" s="15">
        <v>247.94</v>
      </c>
      <c r="AA25" s="15">
        <v>233.62</v>
      </c>
      <c r="AB25" s="15">
        <v>285.66000000000003</v>
      </c>
      <c r="AC25" s="15">
        <v>212.3</v>
      </c>
      <c r="AD25" s="15">
        <v>240.42</v>
      </c>
      <c r="AE25" s="15">
        <v>213.86</v>
      </c>
      <c r="AF25" s="15">
        <v>244.38</v>
      </c>
      <c r="AG25" s="15">
        <v>227.06</v>
      </c>
      <c r="AH25" s="17">
        <v>248.58</v>
      </c>
      <c r="AI25" s="15">
        <v>205.94</v>
      </c>
    </row>
    <row r="26" spans="1:35" s="3" customFormat="1" ht="22.15" customHeight="1">
      <c r="A26" s="63"/>
      <c r="B26" s="13" t="s">
        <v>58</v>
      </c>
      <c r="C26" s="7">
        <f>'2月'!C26+D26</f>
        <v>0</v>
      </c>
      <c r="D26" s="7">
        <f t="shared" si="7"/>
        <v>0</v>
      </c>
      <c r="E26" s="17"/>
      <c r="F26" s="15"/>
      <c r="G26" s="15"/>
      <c r="H26" s="15"/>
      <c r="I26" s="17"/>
      <c r="J26" s="17"/>
      <c r="K26" s="15"/>
      <c r="L26" s="17"/>
      <c r="M26" s="15"/>
      <c r="N26" s="15"/>
      <c r="O26" s="15"/>
      <c r="P26" s="17"/>
      <c r="Q26" s="15"/>
      <c r="R26" s="17"/>
      <c r="S26" s="15"/>
      <c r="T26" s="17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7"/>
      <c r="AI26" s="15"/>
    </row>
    <row r="27" spans="1:35" s="3" customFormat="1" ht="22.15" customHeight="1">
      <c r="A27" s="63"/>
      <c r="B27" s="19" t="s">
        <v>59</v>
      </c>
      <c r="C27" s="7">
        <f>'2月'!C27+D27</f>
        <v>18857.780000000002</v>
      </c>
      <c r="D27" s="7">
        <f t="shared" si="7"/>
        <v>6868.9400000000014</v>
      </c>
      <c r="E27" s="17">
        <v>209.72</v>
      </c>
      <c r="F27" s="15">
        <v>211.76</v>
      </c>
      <c r="G27" s="15">
        <v>220.9</v>
      </c>
      <c r="H27" s="15">
        <v>173.76</v>
      </c>
      <c r="I27" s="17">
        <v>196.44</v>
      </c>
      <c r="J27" s="17">
        <v>188.9</v>
      </c>
      <c r="K27" s="15">
        <v>196.12</v>
      </c>
      <c r="L27" s="17">
        <v>222.94</v>
      </c>
      <c r="M27" s="15">
        <v>200.26</v>
      </c>
      <c r="N27" s="15">
        <v>216.46</v>
      </c>
      <c r="O27" s="15">
        <v>187.48</v>
      </c>
      <c r="P27" s="17">
        <v>205.18</v>
      </c>
      <c r="Q27" s="15">
        <v>207.34</v>
      </c>
      <c r="R27" s="17">
        <v>208.84</v>
      </c>
      <c r="S27" s="15">
        <v>212.04</v>
      </c>
      <c r="T27" s="17">
        <v>201.38</v>
      </c>
      <c r="U27" s="15">
        <v>214.38</v>
      </c>
      <c r="V27" s="15">
        <v>201.52</v>
      </c>
      <c r="W27" s="15">
        <v>225.44</v>
      </c>
      <c r="X27" s="15">
        <v>220.48</v>
      </c>
      <c r="Y27" s="15">
        <v>215.52</v>
      </c>
      <c r="Z27" s="15">
        <v>209.56</v>
      </c>
      <c r="AA27" s="15">
        <v>184.82</v>
      </c>
      <c r="AB27" s="15">
        <v>209.76</v>
      </c>
      <c r="AC27" s="15">
        <v>249.34</v>
      </c>
      <c r="AD27" s="15">
        <v>336.96</v>
      </c>
      <c r="AE27" s="15">
        <v>219.6</v>
      </c>
      <c r="AF27" s="15">
        <v>291.5</v>
      </c>
      <c r="AG27" s="15">
        <v>309.3</v>
      </c>
      <c r="AH27" s="17">
        <v>249.86</v>
      </c>
      <c r="AI27" s="15">
        <v>271.38</v>
      </c>
    </row>
    <row r="28" spans="1:35" s="3" customFormat="1" ht="22.15" customHeight="1">
      <c r="A28" s="63"/>
      <c r="B28" s="19" t="s">
        <v>60</v>
      </c>
      <c r="C28" s="7">
        <f>'2月'!C28+D28</f>
        <v>12283.66</v>
      </c>
      <c r="D28" s="7">
        <f t="shared" si="7"/>
        <v>4600.24</v>
      </c>
      <c r="E28" s="17">
        <v>127.62</v>
      </c>
      <c r="F28" s="15">
        <v>127.1</v>
      </c>
      <c r="G28" s="15">
        <v>165.08</v>
      </c>
      <c r="H28" s="15">
        <v>148.32</v>
      </c>
      <c r="I28" s="17">
        <v>147.06</v>
      </c>
      <c r="J28" s="17">
        <v>155.22</v>
      </c>
      <c r="K28" s="15">
        <v>156.02000000000001</v>
      </c>
      <c r="L28" s="17">
        <v>176.54</v>
      </c>
      <c r="M28" s="15">
        <v>157.52000000000001</v>
      </c>
      <c r="N28" s="15">
        <v>143.28</v>
      </c>
      <c r="O28" s="15">
        <v>156.1</v>
      </c>
      <c r="P28" s="17">
        <v>161.52000000000001</v>
      </c>
      <c r="Q28" s="15">
        <v>148.56</v>
      </c>
      <c r="R28" s="17">
        <v>167.5</v>
      </c>
      <c r="S28" s="15">
        <v>167.62</v>
      </c>
      <c r="T28" s="17">
        <v>137.16</v>
      </c>
      <c r="U28" s="15">
        <v>151.08000000000001</v>
      </c>
      <c r="V28" s="15">
        <v>162.13999999999999</v>
      </c>
      <c r="W28" s="15">
        <v>146.13999999999999</v>
      </c>
      <c r="X28" s="15">
        <v>121.32</v>
      </c>
      <c r="Y28" s="15">
        <v>138</v>
      </c>
      <c r="Z28" s="15">
        <v>140.24</v>
      </c>
      <c r="AA28" s="15">
        <v>152.04</v>
      </c>
      <c r="AB28" s="15">
        <v>146.74</v>
      </c>
      <c r="AC28" s="15">
        <v>133.6</v>
      </c>
      <c r="AD28" s="15">
        <v>128.46</v>
      </c>
      <c r="AE28" s="15">
        <v>136.78</v>
      </c>
      <c r="AF28" s="15">
        <v>164.72</v>
      </c>
      <c r="AG28" s="15">
        <v>128.88</v>
      </c>
      <c r="AH28" s="17">
        <v>150.56</v>
      </c>
      <c r="AI28" s="15">
        <v>157.32</v>
      </c>
    </row>
    <row r="29" spans="1:35" s="3" customFormat="1" ht="22.15" customHeight="1">
      <c r="A29" s="63"/>
      <c r="B29" s="19" t="s">
        <v>61</v>
      </c>
      <c r="C29" s="7">
        <f>'2月'!C29+D29</f>
        <v>38475.14</v>
      </c>
      <c r="D29" s="7">
        <f t="shared" si="7"/>
        <v>17073.539999999997</v>
      </c>
      <c r="E29" s="17">
        <v>579.64</v>
      </c>
      <c r="F29" s="15">
        <v>511.38</v>
      </c>
      <c r="G29" s="15">
        <v>404.18</v>
      </c>
      <c r="H29" s="15">
        <v>489.38</v>
      </c>
      <c r="I29" s="17">
        <v>541.05999999999995</v>
      </c>
      <c r="J29" s="17">
        <v>699.96</v>
      </c>
      <c r="K29" s="15">
        <v>663.38</v>
      </c>
      <c r="L29" s="17">
        <v>596.88</v>
      </c>
      <c r="M29" s="15">
        <v>588.26</v>
      </c>
      <c r="N29" s="15">
        <v>541.52</v>
      </c>
      <c r="O29" s="15">
        <v>561.64</v>
      </c>
      <c r="P29" s="17">
        <v>513.02</v>
      </c>
      <c r="Q29" s="15">
        <v>530.26</v>
      </c>
      <c r="R29" s="17">
        <v>538.38</v>
      </c>
      <c r="S29" s="15">
        <v>583.4</v>
      </c>
      <c r="T29" s="17">
        <v>489.76</v>
      </c>
      <c r="U29" s="15">
        <v>566.79999999999995</v>
      </c>
      <c r="V29" s="15">
        <v>600.82000000000005</v>
      </c>
      <c r="W29" s="15">
        <v>586.86</v>
      </c>
      <c r="X29" s="15">
        <v>570.12</v>
      </c>
      <c r="Y29" s="15">
        <v>545.94000000000005</v>
      </c>
      <c r="Z29" s="15">
        <v>520.9</v>
      </c>
      <c r="AA29" s="15">
        <v>441.66</v>
      </c>
      <c r="AB29" s="15">
        <v>561.24</v>
      </c>
      <c r="AC29" s="15">
        <v>606.54</v>
      </c>
      <c r="AD29" s="15">
        <v>466.96</v>
      </c>
      <c r="AE29" s="15">
        <v>587.04</v>
      </c>
      <c r="AF29" s="15">
        <v>523.88</v>
      </c>
      <c r="AG29" s="15">
        <v>521.32000000000005</v>
      </c>
      <c r="AH29" s="17">
        <v>578.72</v>
      </c>
      <c r="AI29" s="15">
        <v>562.64</v>
      </c>
    </row>
    <row r="30" spans="1:35" s="3" customFormat="1" ht="22.15" customHeight="1">
      <c r="A30" s="63"/>
      <c r="B30" s="19" t="s">
        <v>62</v>
      </c>
      <c r="C30" s="7">
        <f>'2月'!C30+D30</f>
        <v>32.82</v>
      </c>
      <c r="D30" s="7">
        <f t="shared" si="7"/>
        <v>0</v>
      </c>
      <c r="E30" s="17"/>
      <c r="F30" s="15"/>
      <c r="G30" s="15"/>
      <c r="H30" s="15"/>
      <c r="I30" s="17"/>
      <c r="J30" s="17"/>
      <c r="K30" s="15"/>
      <c r="L30" s="17"/>
      <c r="M30" s="15"/>
      <c r="N30" s="15"/>
      <c r="O30" s="15"/>
      <c r="P30" s="17"/>
      <c r="Q30" s="15"/>
      <c r="R30" s="17"/>
      <c r="S30" s="15"/>
      <c r="T30" s="17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7"/>
      <c r="AI30" s="15"/>
    </row>
    <row r="31" spans="1:35" s="3" customFormat="1" ht="22.15" customHeight="1">
      <c r="A31" s="63"/>
      <c r="B31" s="19" t="s">
        <v>63</v>
      </c>
      <c r="C31" s="7">
        <f>'2月'!C31+D31</f>
        <v>0</v>
      </c>
      <c r="D31" s="7">
        <f t="shared" si="7"/>
        <v>0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7"/>
      <c r="AI31" s="15"/>
    </row>
    <row r="32" spans="1:35" s="3" customFormat="1" ht="22.15" customHeight="1">
      <c r="A32" s="63"/>
      <c r="B32" s="19" t="s">
        <v>64</v>
      </c>
      <c r="C32" s="7">
        <f>'2月'!C32+D32</f>
        <v>377.3</v>
      </c>
      <c r="D32" s="7">
        <f t="shared" si="7"/>
        <v>136.07999999999998</v>
      </c>
      <c r="E32" s="17"/>
      <c r="F32" s="15"/>
      <c r="G32" s="15">
        <v>45.66</v>
      </c>
      <c r="H32" s="15"/>
      <c r="I32" s="17"/>
      <c r="J32" s="17"/>
      <c r="K32" s="15"/>
      <c r="L32" s="17"/>
      <c r="M32" s="15"/>
      <c r="N32" s="15">
        <v>21.86</v>
      </c>
      <c r="O32" s="15"/>
      <c r="P32" s="17">
        <v>43</v>
      </c>
      <c r="Q32" s="15"/>
      <c r="R32" s="17"/>
      <c r="S32" s="15"/>
      <c r="T32" s="17">
        <v>25.56</v>
      </c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28"/>
      <c r="AF32" s="28"/>
      <c r="AG32" s="15"/>
      <c r="AH32" s="17"/>
      <c r="AI32" s="15"/>
    </row>
    <row r="33" spans="1:35" s="3" customFormat="1" ht="22.15" hidden="1" customHeight="1">
      <c r="A33" s="63"/>
      <c r="B33" s="19"/>
      <c r="C33" s="7">
        <f>'1月'!C33+D33</f>
        <v>0</v>
      </c>
      <c r="D33" s="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5">
        <v>0</v>
      </c>
      <c r="AF33" s="17"/>
      <c r="AG33" s="17"/>
      <c r="AH33" s="17"/>
      <c r="AI33" s="17"/>
    </row>
    <row r="34" spans="1:35" s="3" customFormat="1" ht="22.15" hidden="1" customHeight="1">
      <c r="A34" s="63"/>
      <c r="B34" s="19"/>
      <c r="C34" s="7">
        <f>'1月'!C34+D34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5" s="3" customFormat="1" ht="26.1" customHeight="1">
      <c r="A35" s="64"/>
      <c r="B35" s="12" t="s">
        <v>65</v>
      </c>
      <c r="C35" s="7">
        <f>SUM(C19:C32)</f>
        <v>115018.06000000001</v>
      </c>
      <c r="D35" s="7">
        <f>SUM(D19:D34)</f>
        <v>44544.979999999996</v>
      </c>
      <c r="E35" s="7">
        <f>SUM(E19:E34)</f>
        <v>1415.7</v>
      </c>
      <c r="F35" s="7">
        <f t="shared" ref="F35:AI35" si="8">SUM(F19:F34)</f>
        <v>1324.48</v>
      </c>
      <c r="G35" s="7">
        <f t="shared" si="8"/>
        <v>1331.1000000000001</v>
      </c>
      <c r="H35" s="7">
        <f t="shared" si="8"/>
        <v>1304.8600000000001</v>
      </c>
      <c r="I35" s="7">
        <f t="shared" si="8"/>
        <v>1301.54</v>
      </c>
      <c r="J35" s="7">
        <f t="shared" si="8"/>
        <v>1649.98</v>
      </c>
      <c r="K35" s="7">
        <f t="shared" si="8"/>
        <v>1611.54</v>
      </c>
      <c r="L35" s="7">
        <f t="shared" si="8"/>
        <v>1581.42</v>
      </c>
      <c r="M35" s="7">
        <f t="shared" si="8"/>
        <v>1579.24</v>
      </c>
      <c r="N35" s="7">
        <f t="shared" si="8"/>
        <v>1533.3799999999999</v>
      </c>
      <c r="O35" s="7">
        <f t="shared" si="8"/>
        <v>1518.46</v>
      </c>
      <c r="P35" s="7">
        <f t="shared" si="8"/>
        <v>1526.3400000000001</v>
      </c>
      <c r="Q35" s="7">
        <f t="shared" si="8"/>
        <v>1438.5600000000002</v>
      </c>
      <c r="R35" s="7">
        <f t="shared" si="8"/>
        <v>1480.24</v>
      </c>
      <c r="S35" s="7">
        <f t="shared" si="8"/>
        <v>1556.46</v>
      </c>
      <c r="T35" s="7">
        <f t="shared" si="8"/>
        <v>1319.58</v>
      </c>
      <c r="U35" s="7">
        <f t="shared" si="8"/>
        <v>1420.92</v>
      </c>
      <c r="V35" s="7">
        <f t="shared" si="8"/>
        <v>1433.8400000000001</v>
      </c>
      <c r="W35" s="7">
        <f t="shared" si="8"/>
        <v>1483.88</v>
      </c>
      <c r="X35" s="7">
        <f t="shared" si="8"/>
        <v>1487.3000000000002</v>
      </c>
      <c r="Y35" s="7">
        <f t="shared" si="8"/>
        <v>1213.5999999999999</v>
      </c>
      <c r="Z35" s="7">
        <f t="shared" si="8"/>
        <v>1238.1199999999999</v>
      </c>
      <c r="AA35" s="7">
        <f t="shared" si="8"/>
        <v>1132.94</v>
      </c>
      <c r="AB35" s="7">
        <f t="shared" si="8"/>
        <v>1324.78</v>
      </c>
      <c r="AC35" s="7">
        <f t="shared" si="8"/>
        <v>1372.54</v>
      </c>
      <c r="AD35" s="7">
        <f t="shared" si="8"/>
        <v>1341.76</v>
      </c>
      <c r="AE35" s="7">
        <f>SUM(AE19:AE32)</f>
        <v>1442.76</v>
      </c>
      <c r="AF35" s="7">
        <f t="shared" si="8"/>
        <v>1528.6799999999998</v>
      </c>
      <c r="AG35" s="7">
        <f t="shared" si="8"/>
        <v>1457.42</v>
      </c>
      <c r="AH35" s="7">
        <f t="shared" si="8"/>
        <v>1573.44</v>
      </c>
      <c r="AI35" s="7">
        <f t="shared" si="8"/>
        <v>1620.12</v>
      </c>
    </row>
    <row r="36" spans="1:35" s="3" customFormat="1" ht="25.5" customHeight="1">
      <c r="A36" s="61" t="s">
        <v>68</v>
      </c>
      <c r="B36" s="12" t="s">
        <v>66</v>
      </c>
      <c r="C36" s="7">
        <f>'2月'!C36+D36</f>
        <v>25368.1</v>
      </c>
      <c r="D36" s="7">
        <f>SUM(E36:AI36)</f>
        <v>9658.0400000000009</v>
      </c>
      <c r="E36" s="7">
        <v>199.7</v>
      </c>
      <c r="F36" s="7">
        <v>228.3</v>
      </c>
      <c r="G36" s="7">
        <v>324.26</v>
      </c>
      <c r="H36" s="7">
        <v>345.44</v>
      </c>
      <c r="I36" s="7">
        <v>341.14</v>
      </c>
      <c r="J36" s="7">
        <v>325.74</v>
      </c>
      <c r="K36" s="7">
        <v>324.26</v>
      </c>
      <c r="L36" s="7">
        <v>360.52</v>
      </c>
      <c r="M36" s="7">
        <v>281.48</v>
      </c>
      <c r="N36" s="7">
        <v>364.26</v>
      </c>
      <c r="O36" s="7">
        <v>288.98</v>
      </c>
      <c r="P36" s="7">
        <v>290.08</v>
      </c>
      <c r="Q36" s="7">
        <v>269.48</v>
      </c>
      <c r="R36" s="7">
        <v>338.14</v>
      </c>
      <c r="S36" s="7">
        <v>235.04</v>
      </c>
      <c r="T36" s="7">
        <v>284.56</v>
      </c>
      <c r="U36" s="7">
        <v>386.72</v>
      </c>
      <c r="V36" s="7">
        <v>220.8</v>
      </c>
      <c r="W36" s="7">
        <v>404.86</v>
      </c>
      <c r="X36" s="7">
        <v>308.06</v>
      </c>
      <c r="Y36" s="7">
        <v>316.08</v>
      </c>
      <c r="Z36" s="7">
        <v>311.66000000000003</v>
      </c>
      <c r="AA36" s="7">
        <v>295.24</v>
      </c>
      <c r="AB36" s="7">
        <v>330.62</v>
      </c>
      <c r="AC36" s="7">
        <v>287.92</v>
      </c>
      <c r="AD36" s="7">
        <v>351.8</v>
      </c>
      <c r="AE36" s="7">
        <v>357.54</v>
      </c>
      <c r="AF36" s="7">
        <v>308.66000000000003</v>
      </c>
      <c r="AG36" s="7">
        <v>365.24</v>
      </c>
      <c r="AH36" s="7">
        <v>309.22000000000003</v>
      </c>
      <c r="AI36" s="7">
        <v>302.24</v>
      </c>
    </row>
    <row r="37" spans="1:35" s="3" customFormat="1" ht="26.1" customHeight="1">
      <c r="A37" s="53"/>
      <c r="B37" s="12" t="s">
        <v>67</v>
      </c>
      <c r="C37" s="7">
        <f>'2月'!C37+D37</f>
        <v>2724.42</v>
      </c>
      <c r="D37" s="7">
        <f t="shared" ref="D37:D41" si="9">SUM(E37:AI37)</f>
        <v>944.3</v>
      </c>
      <c r="E37" s="7">
        <v>19.88</v>
      </c>
      <c r="F37" s="7">
        <v>23.58</v>
      </c>
      <c r="G37" s="7">
        <v>19.96</v>
      </c>
      <c r="H37" s="7">
        <v>61.74</v>
      </c>
      <c r="I37" s="7">
        <v>19.399999999999999</v>
      </c>
      <c r="J37" s="7">
        <v>0</v>
      </c>
      <c r="K37" s="7">
        <v>40.5</v>
      </c>
      <c r="L37" s="7">
        <v>22.38</v>
      </c>
      <c r="M37" s="7">
        <v>41.52</v>
      </c>
      <c r="N37" s="7">
        <v>42.94</v>
      </c>
      <c r="O37" s="7">
        <v>40.94</v>
      </c>
      <c r="P37" s="7">
        <v>21.42</v>
      </c>
      <c r="Q37" s="7">
        <v>31.58</v>
      </c>
      <c r="R37" s="7">
        <v>22.26</v>
      </c>
      <c r="S37" s="7">
        <v>30.28</v>
      </c>
      <c r="T37" s="7">
        <v>21.54</v>
      </c>
      <c r="U37" s="7">
        <v>34.64</v>
      </c>
      <c r="V37" s="7">
        <v>43</v>
      </c>
      <c r="W37" s="7">
        <v>54.18</v>
      </c>
      <c r="X37" s="7">
        <v>42.64</v>
      </c>
      <c r="Y37" s="7">
        <v>20.82</v>
      </c>
      <c r="Z37" s="7">
        <v>40.72</v>
      </c>
      <c r="AA37" s="7">
        <v>33.1</v>
      </c>
      <c r="AB37" s="7">
        <v>43.6</v>
      </c>
      <c r="AC37" s="7">
        <v>41.62</v>
      </c>
      <c r="AD37" s="7">
        <v>21.1</v>
      </c>
      <c r="AE37" s="7">
        <v>0</v>
      </c>
      <c r="AF37" s="7">
        <v>9.4600000000000009</v>
      </c>
      <c r="AG37" s="7">
        <v>21.4</v>
      </c>
      <c r="AH37" s="7">
        <v>62.18</v>
      </c>
      <c r="AI37" s="7">
        <v>15.92</v>
      </c>
    </row>
    <row r="38" spans="1:35" s="3" customFormat="1" ht="24.95" customHeight="1">
      <c r="A38" s="54"/>
      <c r="B38" s="6" t="s">
        <v>69</v>
      </c>
      <c r="C38" s="7">
        <f>'2月'!C38+D38</f>
        <v>8072</v>
      </c>
      <c r="D38" s="7">
        <f t="shared" si="9"/>
        <v>4219</v>
      </c>
      <c r="E38" s="7">
        <v>111</v>
      </c>
      <c r="F38" s="7">
        <v>203</v>
      </c>
      <c r="G38" s="7">
        <v>33</v>
      </c>
      <c r="H38" s="7">
        <v>319</v>
      </c>
      <c r="I38" s="7">
        <v>27</v>
      </c>
      <c r="J38" s="7">
        <v>188</v>
      </c>
      <c r="K38" s="7">
        <v>211</v>
      </c>
      <c r="L38" s="7">
        <v>125</v>
      </c>
      <c r="M38" s="7">
        <v>177</v>
      </c>
      <c r="N38" s="7">
        <v>170</v>
      </c>
      <c r="O38" s="7">
        <v>156</v>
      </c>
      <c r="P38" s="7">
        <v>292</v>
      </c>
      <c r="Q38" s="7">
        <v>163</v>
      </c>
      <c r="R38" s="7">
        <v>152</v>
      </c>
      <c r="S38" s="7">
        <v>149</v>
      </c>
      <c r="T38" s="7">
        <v>106</v>
      </c>
      <c r="U38" s="7">
        <v>128</v>
      </c>
      <c r="V38" s="7">
        <v>146</v>
      </c>
      <c r="W38" s="7">
        <v>187</v>
      </c>
      <c r="X38" s="7">
        <v>0</v>
      </c>
      <c r="Y38" s="7">
        <v>209</v>
      </c>
      <c r="Z38" s="7">
        <v>192</v>
      </c>
      <c r="AA38" s="7">
        <v>77</v>
      </c>
      <c r="AB38" s="7">
        <v>0</v>
      </c>
      <c r="AC38" s="7">
        <v>167</v>
      </c>
      <c r="AD38" s="7">
        <v>77</v>
      </c>
      <c r="AE38" s="7">
        <v>141</v>
      </c>
      <c r="AF38" s="7">
        <v>0</v>
      </c>
      <c r="AG38" s="7">
        <v>157</v>
      </c>
      <c r="AH38" s="7">
        <v>156</v>
      </c>
      <c r="AI38" s="7">
        <v>0</v>
      </c>
    </row>
    <row r="39" spans="1:35" s="3" customFormat="1" ht="24.95" customHeight="1">
      <c r="A39" s="60" t="s">
        <v>70</v>
      </c>
      <c r="B39" s="6" t="s">
        <v>71</v>
      </c>
      <c r="C39" s="7">
        <f>'2月'!C39+D39</f>
        <v>202.64999999999998</v>
      </c>
      <c r="D39" s="7">
        <f t="shared" si="9"/>
        <v>66.569999999999993</v>
      </c>
      <c r="E39" s="39">
        <v>2</v>
      </c>
      <c r="F39" s="39">
        <v>2.2999999999999998</v>
      </c>
      <c r="G39" s="39">
        <v>1.93</v>
      </c>
      <c r="H39" s="39">
        <v>2.12</v>
      </c>
      <c r="I39" s="39">
        <v>2.11</v>
      </c>
      <c r="J39" s="39">
        <v>2.2000000000000002</v>
      </c>
      <c r="K39" s="39">
        <v>2.2999999999999998</v>
      </c>
      <c r="L39" s="39">
        <v>2.2000000000000002</v>
      </c>
      <c r="M39" s="39">
        <v>2.2000000000000002</v>
      </c>
      <c r="N39" s="39">
        <v>2.2999999999999998</v>
      </c>
      <c r="O39" s="42">
        <v>2.2000000000000002</v>
      </c>
      <c r="P39" s="42">
        <v>2.11</v>
      </c>
      <c r="Q39" s="42">
        <v>2.2999999999999998</v>
      </c>
      <c r="R39" s="42">
        <v>2.11</v>
      </c>
      <c r="S39" s="42">
        <v>2.11</v>
      </c>
      <c r="T39" s="42">
        <v>2.02</v>
      </c>
      <c r="U39" s="42">
        <v>2.11</v>
      </c>
      <c r="V39" s="42">
        <v>2.2000000000000002</v>
      </c>
      <c r="W39" s="42">
        <v>2.12</v>
      </c>
      <c r="X39" s="42">
        <v>2.2000000000000002</v>
      </c>
      <c r="Y39" s="39">
        <v>2.2999999999999998</v>
      </c>
      <c r="Z39" s="39">
        <v>2.2999999999999998</v>
      </c>
      <c r="AA39" s="39">
        <v>2.4</v>
      </c>
      <c r="AB39" s="39">
        <v>2</v>
      </c>
      <c r="AC39" s="39">
        <v>1.93</v>
      </c>
      <c r="AD39" s="39">
        <v>1.93</v>
      </c>
      <c r="AE39" s="39">
        <v>1.93</v>
      </c>
      <c r="AF39" s="39">
        <v>2.21</v>
      </c>
      <c r="AG39" s="39">
        <v>2.11</v>
      </c>
      <c r="AH39" s="39">
        <v>2.02</v>
      </c>
      <c r="AI39" s="30">
        <v>2.2999999999999998</v>
      </c>
    </row>
    <row r="40" spans="1:35" s="3" customFormat="1" ht="24.95" customHeight="1">
      <c r="A40" s="60"/>
      <c r="B40" s="6" t="s">
        <v>72</v>
      </c>
      <c r="C40" s="7">
        <f>'2月'!C40+D40</f>
        <v>966.59999999999991</v>
      </c>
      <c r="D40" s="7">
        <f t="shared" si="9"/>
        <v>311.09999999999997</v>
      </c>
      <c r="E40" s="40">
        <v>9.5</v>
      </c>
      <c r="F40" s="40">
        <v>8.4</v>
      </c>
      <c r="G40" s="40">
        <v>10.1</v>
      </c>
      <c r="H40" s="40">
        <v>9.5</v>
      </c>
      <c r="I40" s="40">
        <v>9.3000000000000007</v>
      </c>
      <c r="J40" s="40">
        <v>9.1999999999999993</v>
      </c>
      <c r="K40" s="40">
        <v>9.6</v>
      </c>
      <c r="L40" s="40">
        <v>9.1999999999999993</v>
      </c>
      <c r="M40" s="40">
        <v>9.5</v>
      </c>
      <c r="N40" s="40">
        <v>9</v>
      </c>
      <c r="O40" s="43">
        <v>10.5</v>
      </c>
      <c r="P40" s="43">
        <v>9.1</v>
      </c>
      <c r="Q40" s="43">
        <v>10.199999999999999</v>
      </c>
      <c r="R40" s="43">
        <v>9.5</v>
      </c>
      <c r="S40" s="43">
        <v>9.5</v>
      </c>
      <c r="T40" s="43">
        <v>11</v>
      </c>
      <c r="U40" s="43">
        <v>9.6999999999999993</v>
      </c>
      <c r="V40" s="43">
        <v>16.100000000000001</v>
      </c>
      <c r="W40" s="43">
        <v>10.1</v>
      </c>
      <c r="X40" s="43">
        <v>10.1</v>
      </c>
      <c r="Y40" s="43">
        <v>10.5</v>
      </c>
      <c r="Z40" s="43">
        <v>8.9</v>
      </c>
      <c r="AA40" s="43">
        <v>9.5</v>
      </c>
      <c r="AB40" s="43">
        <v>9.3000000000000007</v>
      </c>
      <c r="AC40" s="43">
        <v>10.7</v>
      </c>
      <c r="AD40" s="43">
        <v>11.6</v>
      </c>
      <c r="AE40" s="43">
        <v>10.7</v>
      </c>
      <c r="AF40" s="43">
        <v>10.7</v>
      </c>
      <c r="AG40" s="43">
        <v>9.8000000000000007</v>
      </c>
      <c r="AH40" s="43">
        <v>10</v>
      </c>
      <c r="AI40" s="45">
        <v>10.3</v>
      </c>
    </row>
    <row r="41" spans="1:35" s="3" customFormat="1" ht="24.95" customHeight="1">
      <c r="A41" s="60"/>
      <c r="B41" s="6" t="s">
        <v>73</v>
      </c>
      <c r="C41" s="7">
        <f>'2月'!C41+D41</f>
        <v>60.499999999999986</v>
      </c>
      <c r="D41" s="7">
        <f t="shared" si="9"/>
        <v>22.999999999999996</v>
      </c>
      <c r="E41" s="41">
        <v>0.7</v>
      </c>
      <c r="F41" s="41">
        <v>0.8</v>
      </c>
      <c r="G41" s="41">
        <v>0.7</v>
      </c>
      <c r="H41" s="41">
        <v>0.7</v>
      </c>
      <c r="I41" s="41">
        <v>0.8</v>
      </c>
      <c r="J41" s="41">
        <v>0.7</v>
      </c>
      <c r="K41" s="41">
        <v>0.7</v>
      </c>
      <c r="L41" s="41">
        <v>0.7</v>
      </c>
      <c r="M41" s="41">
        <v>0.7</v>
      </c>
      <c r="N41" s="41">
        <v>0.8</v>
      </c>
      <c r="O41" s="44">
        <v>0.7</v>
      </c>
      <c r="P41" s="44">
        <v>0.7</v>
      </c>
      <c r="Q41" s="44">
        <v>0.7</v>
      </c>
      <c r="R41" s="44">
        <v>0.7</v>
      </c>
      <c r="S41" s="44">
        <v>0.8</v>
      </c>
      <c r="T41" s="44">
        <v>0.7</v>
      </c>
      <c r="U41" s="44">
        <v>0.8</v>
      </c>
      <c r="V41" s="44">
        <v>0.8</v>
      </c>
      <c r="W41" s="44">
        <v>0.7</v>
      </c>
      <c r="X41" s="44">
        <v>0.7</v>
      </c>
      <c r="Y41" s="44">
        <v>0.7</v>
      </c>
      <c r="Z41" s="44">
        <v>0.8</v>
      </c>
      <c r="AA41" s="44">
        <v>0.8</v>
      </c>
      <c r="AB41" s="44">
        <v>0.7</v>
      </c>
      <c r="AC41" s="44">
        <v>0.8</v>
      </c>
      <c r="AD41" s="44">
        <v>0.8</v>
      </c>
      <c r="AE41" s="44">
        <v>0.7</v>
      </c>
      <c r="AF41" s="44">
        <v>0.7</v>
      </c>
      <c r="AG41" s="44">
        <v>0.8</v>
      </c>
      <c r="AH41" s="44">
        <v>0.7</v>
      </c>
      <c r="AI41" s="44">
        <v>0.9</v>
      </c>
    </row>
    <row r="42" spans="1:35" s="1" customFormat="1" ht="18" customHeight="1">
      <c r="B42" s="20" t="s">
        <v>74</v>
      </c>
      <c r="C42" s="21">
        <f>C36/C5</f>
        <v>0.23620578724244237</v>
      </c>
      <c r="D42" s="21">
        <f>D36/D5</f>
        <v>0.23280575817034424</v>
      </c>
      <c r="G42" s="22"/>
    </row>
    <row r="43" spans="1:35" s="1" customFormat="1" ht="18" customHeight="1">
      <c r="B43" s="23" t="s">
        <v>75</v>
      </c>
      <c r="C43" s="24">
        <f>C37/C5</f>
        <v>2.536744063919075E-2</v>
      </c>
      <c r="D43" s="24">
        <f>D37/D5</f>
        <v>2.2762224782694629E-2</v>
      </c>
      <c r="G43" s="22"/>
    </row>
    <row r="44" spans="1:35" s="1" customFormat="1" ht="18" customHeight="1">
      <c r="B44" s="23" t="s">
        <v>76</v>
      </c>
      <c r="C44" s="24">
        <f>C38/C5</f>
        <v>7.5159476453537905E-2</v>
      </c>
      <c r="D44" s="24">
        <f>D38/D5</f>
        <v>0.1016984288448466</v>
      </c>
      <c r="G44" s="22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</sheetData>
  <mergeCells count="10">
    <mergeCell ref="A16:A17"/>
    <mergeCell ref="A39:A41"/>
    <mergeCell ref="A1:B1"/>
    <mergeCell ref="C1:AI1"/>
    <mergeCell ref="A3:A5"/>
    <mergeCell ref="A6:A8"/>
    <mergeCell ref="A9:A12"/>
    <mergeCell ref="A13:A15"/>
    <mergeCell ref="A19:A35"/>
    <mergeCell ref="A36:A38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68"/>
  <sheetViews>
    <sheetView topLeftCell="A23" workbookViewId="0">
      <pane xSplit="4" topLeftCell="K1" activePane="topRight" state="frozen"/>
      <selection pane="topRight" activeCell="A37" sqref="A37:A39"/>
    </sheetView>
  </sheetViews>
  <sheetFormatPr defaultColWidth="9" defaultRowHeight="13.5"/>
  <cols>
    <col min="1" max="1" width="8.75" style="4" customWidth="1"/>
    <col min="2" max="2" width="13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8.375" style="4" customWidth="1"/>
    <col min="35" max="35" width="9" style="4" hidden="1" customWidth="1"/>
    <col min="36" max="16384" width="9" style="4"/>
  </cols>
  <sheetData>
    <row r="1" spans="1:35" s="1" customFormat="1" ht="42.75" customHeight="1">
      <c r="A1" s="57">
        <v>44287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D3+'3月'!C3</f>
        <v>71828.600000000006</v>
      </c>
      <c r="D3" s="7">
        <f t="shared" ref="D3" si="0">SUM(E3:AI3)</f>
        <v>19637.300000000003</v>
      </c>
      <c r="E3" s="7">
        <v>637.6</v>
      </c>
      <c r="F3" s="7">
        <v>598.5</v>
      </c>
      <c r="G3" s="7">
        <v>629.20000000000005</v>
      </c>
      <c r="H3" s="7">
        <v>603.1</v>
      </c>
      <c r="I3" s="7">
        <v>632.5</v>
      </c>
      <c r="J3" s="7">
        <v>581.29999999999995</v>
      </c>
      <c r="K3" s="7">
        <v>633.20000000000005</v>
      </c>
      <c r="L3" s="7">
        <v>667</v>
      </c>
      <c r="M3" s="7">
        <v>648.20000000000005</v>
      </c>
      <c r="N3" s="7">
        <v>632.20000000000005</v>
      </c>
      <c r="O3" s="7">
        <v>640</v>
      </c>
      <c r="P3" s="7">
        <v>643.79999999999995</v>
      </c>
      <c r="Q3" s="7">
        <v>657.3</v>
      </c>
      <c r="R3" s="7">
        <v>627.70000000000005</v>
      </c>
      <c r="S3" s="7">
        <v>657.5</v>
      </c>
      <c r="T3" s="7">
        <v>659.7</v>
      </c>
      <c r="U3" s="7">
        <v>657.2</v>
      </c>
      <c r="V3" s="7">
        <v>680.1</v>
      </c>
      <c r="W3" s="7">
        <v>680.8</v>
      </c>
      <c r="X3" s="7">
        <v>683.7</v>
      </c>
      <c r="Y3" s="7">
        <v>672.7</v>
      </c>
      <c r="Z3" s="7">
        <v>701.9</v>
      </c>
      <c r="AA3" s="7">
        <v>680.8</v>
      </c>
      <c r="AB3" s="7">
        <v>653.20000000000005</v>
      </c>
      <c r="AC3" s="7">
        <v>711.7</v>
      </c>
      <c r="AD3" s="7">
        <v>682.4</v>
      </c>
      <c r="AE3" s="7">
        <v>694.7</v>
      </c>
      <c r="AF3" s="7">
        <v>691.4</v>
      </c>
      <c r="AG3" s="7">
        <v>676.8</v>
      </c>
      <c r="AH3" s="7">
        <v>621.1</v>
      </c>
      <c r="AI3" s="29"/>
    </row>
    <row r="4" spans="1:35" s="3" customFormat="1" ht="26.25" customHeight="1">
      <c r="A4" s="51"/>
      <c r="B4" s="7" t="s">
        <v>37</v>
      </c>
      <c r="C4" s="7">
        <f>D4+'3月'!C4</f>
        <v>76979.399999999994</v>
      </c>
      <c r="D4" s="7">
        <f t="shared" ref="D4:D9" si="1">SUM(E4:AI4)</f>
        <v>21772.399999999998</v>
      </c>
      <c r="E4" s="7">
        <v>682.1</v>
      </c>
      <c r="F4" s="7">
        <v>667</v>
      </c>
      <c r="G4" s="7">
        <v>669.2</v>
      </c>
      <c r="H4" s="7">
        <v>666.9</v>
      </c>
      <c r="I4" s="7">
        <v>651.20000000000005</v>
      </c>
      <c r="J4" s="7">
        <v>610.9</v>
      </c>
      <c r="K4" s="7">
        <v>675.1</v>
      </c>
      <c r="L4" s="7">
        <v>728.8</v>
      </c>
      <c r="M4" s="7">
        <v>692.4</v>
      </c>
      <c r="N4" s="7">
        <v>709.5</v>
      </c>
      <c r="O4" s="7">
        <v>686.3</v>
      </c>
      <c r="P4" s="7">
        <v>698.5</v>
      </c>
      <c r="Q4" s="7">
        <v>709.9</v>
      </c>
      <c r="R4" s="7">
        <v>679.7</v>
      </c>
      <c r="S4" s="7">
        <v>730.8</v>
      </c>
      <c r="T4" s="7">
        <v>745.1</v>
      </c>
      <c r="U4" s="7">
        <v>734.8</v>
      </c>
      <c r="V4" s="7">
        <v>798.1</v>
      </c>
      <c r="W4" s="7">
        <v>786.6</v>
      </c>
      <c r="X4" s="7">
        <v>802.6</v>
      </c>
      <c r="Y4" s="7">
        <v>773.8</v>
      </c>
      <c r="Z4" s="7">
        <v>794.8</v>
      </c>
      <c r="AA4" s="7">
        <v>777</v>
      </c>
      <c r="AB4" s="7">
        <v>729.2</v>
      </c>
      <c r="AC4" s="7">
        <v>803.6</v>
      </c>
      <c r="AD4" s="7">
        <v>751.8</v>
      </c>
      <c r="AE4" s="7">
        <v>755.6</v>
      </c>
      <c r="AF4" s="7">
        <v>789.5</v>
      </c>
      <c r="AG4" s="29">
        <v>745.2</v>
      </c>
      <c r="AH4" s="7">
        <v>726.4</v>
      </c>
      <c r="AI4" s="7"/>
    </row>
    <row r="5" spans="1:35" s="3" customFormat="1" ht="24.95" customHeight="1">
      <c r="A5" s="51"/>
      <c r="B5" s="7" t="s">
        <v>38</v>
      </c>
      <c r="C5" s="7">
        <f>D5+'3月'!C5</f>
        <v>148808</v>
      </c>
      <c r="D5" s="7">
        <f t="shared" si="1"/>
        <v>41409.700000000004</v>
      </c>
      <c r="E5" s="7">
        <f>SUM(E3:E4)</f>
        <v>1319.7</v>
      </c>
      <c r="F5" s="7">
        <f t="shared" ref="F5:AI5" si="2">SUM(F3:F4)</f>
        <v>1265.5</v>
      </c>
      <c r="G5" s="7">
        <f t="shared" si="2"/>
        <v>1298.4000000000001</v>
      </c>
      <c r="H5" s="7">
        <f t="shared" si="2"/>
        <v>1270</v>
      </c>
      <c r="I5" s="7">
        <f t="shared" si="2"/>
        <v>1283.7</v>
      </c>
      <c r="J5" s="7">
        <f t="shared" si="2"/>
        <v>1192.1999999999998</v>
      </c>
      <c r="K5" s="7">
        <f t="shared" si="2"/>
        <v>1308.3000000000002</v>
      </c>
      <c r="L5" s="7">
        <f t="shared" si="2"/>
        <v>1395.8</v>
      </c>
      <c r="M5" s="7">
        <f t="shared" si="2"/>
        <v>1340.6</v>
      </c>
      <c r="N5" s="7">
        <f t="shared" si="2"/>
        <v>1341.7</v>
      </c>
      <c r="O5" s="7">
        <f t="shared" si="2"/>
        <v>1326.3</v>
      </c>
      <c r="P5" s="7">
        <f t="shared" si="2"/>
        <v>1342.3</v>
      </c>
      <c r="Q5" s="7">
        <f t="shared" si="2"/>
        <v>1367.1999999999998</v>
      </c>
      <c r="R5" s="7">
        <f t="shared" si="2"/>
        <v>1307.4000000000001</v>
      </c>
      <c r="S5" s="7">
        <f t="shared" si="2"/>
        <v>1388.3</v>
      </c>
      <c r="T5" s="7">
        <f t="shared" si="2"/>
        <v>1404.8000000000002</v>
      </c>
      <c r="U5" s="7">
        <f t="shared" si="2"/>
        <v>1392</v>
      </c>
      <c r="V5" s="7">
        <f t="shared" si="2"/>
        <v>1478.2</v>
      </c>
      <c r="W5" s="7">
        <f t="shared" si="2"/>
        <v>1467.4</v>
      </c>
      <c r="X5" s="7">
        <f t="shared" si="2"/>
        <v>1486.3000000000002</v>
      </c>
      <c r="Y5" s="7">
        <f t="shared" si="2"/>
        <v>1446.5</v>
      </c>
      <c r="Z5" s="7">
        <f t="shared" si="2"/>
        <v>1496.6999999999998</v>
      </c>
      <c r="AA5" s="7">
        <f t="shared" si="2"/>
        <v>1457.8</v>
      </c>
      <c r="AB5" s="7">
        <f t="shared" si="2"/>
        <v>1382.4</v>
      </c>
      <c r="AC5" s="7">
        <f t="shared" si="2"/>
        <v>1515.3000000000002</v>
      </c>
      <c r="AD5" s="7">
        <f t="shared" si="2"/>
        <v>1434.1999999999998</v>
      </c>
      <c r="AE5" s="7">
        <f t="shared" si="2"/>
        <v>1450.3000000000002</v>
      </c>
      <c r="AF5" s="7">
        <f t="shared" si="2"/>
        <v>1480.9</v>
      </c>
      <c r="AG5" s="7">
        <f t="shared" si="2"/>
        <v>1422</v>
      </c>
      <c r="AH5" s="7">
        <f t="shared" si="2"/>
        <v>1347.5</v>
      </c>
      <c r="AI5" s="7">
        <f t="shared" si="2"/>
        <v>0</v>
      </c>
    </row>
    <row r="6" spans="1:35" s="3" customFormat="1" ht="24.95" customHeight="1">
      <c r="A6" s="51" t="s">
        <v>39</v>
      </c>
      <c r="B6" s="7" t="s">
        <v>40</v>
      </c>
      <c r="C6" s="7">
        <f>D6+'3月'!C6</f>
        <v>34480000</v>
      </c>
      <c r="D6" s="7">
        <f t="shared" si="1"/>
        <v>10094000</v>
      </c>
      <c r="E6" s="7">
        <v>296000</v>
      </c>
      <c r="F6" s="7">
        <v>306000</v>
      </c>
      <c r="G6" s="7">
        <v>310000</v>
      </c>
      <c r="H6" s="7">
        <v>314000</v>
      </c>
      <c r="I6" s="7">
        <v>310000</v>
      </c>
      <c r="J6" s="7">
        <v>322000</v>
      </c>
      <c r="K6" s="7">
        <v>326000</v>
      </c>
      <c r="L6" s="7">
        <v>318000</v>
      </c>
      <c r="M6" s="7">
        <v>328000</v>
      </c>
      <c r="N6" s="7">
        <v>348000</v>
      </c>
      <c r="O6" s="7">
        <v>338000</v>
      </c>
      <c r="P6" s="26">
        <v>340000</v>
      </c>
      <c r="Q6" s="7">
        <v>344000</v>
      </c>
      <c r="R6" s="7">
        <v>344000</v>
      </c>
      <c r="S6" s="7">
        <v>342000</v>
      </c>
      <c r="T6" s="7">
        <v>352000</v>
      </c>
      <c r="U6" s="26">
        <v>352000</v>
      </c>
      <c r="V6" s="26">
        <v>360000</v>
      </c>
      <c r="W6" s="7">
        <v>358000</v>
      </c>
      <c r="X6" s="7">
        <v>362000</v>
      </c>
      <c r="Y6" s="7">
        <v>352000</v>
      </c>
      <c r="Z6" s="7">
        <v>352000</v>
      </c>
      <c r="AA6" s="7">
        <v>350000</v>
      </c>
      <c r="AB6" s="7">
        <v>338000</v>
      </c>
      <c r="AC6" s="7">
        <v>336000</v>
      </c>
      <c r="AD6" s="7">
        <v>338000</v>
      </c>
      <c r="AE6" s="7">
        <v>342000</v>
      </c>
      <c r="AF6" s="7">
        <v>338000</v>
      </c>
      <c r="AG6" s="7">
        <v>340000</v>
      </c>
      <c r="AH6" s="7">
        <v>338000</v>
      </c>
      <c r="AI6" s="7"/>
    </row>
    <row r="7" spans="1:35" s="3" customFormat="1" ht="24.95" customHeight="1">
      <c r="A7" s="51"/>
      <c r="B7" s="7" t="s">
        <v>41</v>
      </c>
      <c r="C7" s="7">
        <f>D7+'3月'!C7</f>
        <v>41932000</v>
      </c>
      <c r="D7" s="7">
        <f t="shared" si="1"/>
        <v>10318000</v>
      </c>
      <c r="E7" s="7">
        <v>368000</v>
      </c>
      <c r="F7" s="7">
        <v>362000</v>
      </c>
      <c r="G7" s="7">
        <v>356000</v>
      </c>
      <c r="H7" s="7">
        <v>354000</v>
      </c>
      <c r="I7" s="7">
        <v>360000</v>
      </c>
      <c r="J7" s="7">
        <v>354000</v>
      </c>
      <c r="K7" s="7">
        <v>350000</v>
      </c>
      <c r="L7" s="7">
        <v>356000</v>
      </c>
      <c r="M7" s="7">
        <v>344000</v>
      </c>
      <c r="N7" s="7">
        <v>328000</v>
      </c>
      <c r="O7" s="7">
        <v>332000</v>
      </c>
      <c r="P7" s="26">
        <v>334000</v>
      </c>
      <c r="Q7" s="7">
        <v>330000</v>
      </c>
      <c r="R7" s="7">
        <v>332000</v>
      </c>
      <c r="S7" s="7">
        <v>328000</v>
      </c>
      <c r="T7" s="7">
        <v>342000</v>
      </c>
      <c r="U7" s="7">
        <v>346000</v>
      </c>
      <c r="V7" s="7">
        <v>344000</v>
      </c>
      <c r="W7" s="7">
        <v>342000</v>
      </c>
      <c r="X7" s="7">
        <v>348000</v>
      </c>
      <c r="Y7" s="7">
        <v>344000</v>
      </c>
      <c r="Z7" s="7">
        <v>342000</v>
      </c>
      <c r="AA7" s="7">
        <v>336000</v>
      </c>
      <c r="AB7" s="7">
        <v>344000</v>
      </c>
      <c r="AC7" s="7">
        <v>334000</v>
      </c>
      <c r="AD7" s="7">
        <v>340000</v>
      </c>
      <c r="AE7" s="7">
        <v>330000</v>
      </c>
      <c r="AF7" s="7">
        <v>340000</v>
      </c>
      <c r="AG7" s="7">
        <v>348000</v>
      </c>
      <c r="AH7" s="7">
        <v>350000</v>
      </c>
      <c r="AI7" s="26"/>
    </row>
    <row r="8" spans="1:35" s="3" customFormat="1" ht="24.95" customHeight="1">
      <c r="A8" s="51"/>
      <c r="B8" s="7" t="s">
        <v>38</v>
      </c>
      <c r="C8" s="7">
        <f>D8+'3月'!C8</f>
        <v>76412000</v>
      </c>
      <c r="D8" s="7">
        <f t="shared" si="1"/>
        <v>20412000</v>
      </c>
      <c r="E8" s="7">
        <f t="shared" ref="E8:AI8" si="3">SUM(E6:E7)</f>
        <v>664000</v>
      </c>
      <c r="F8" s="7">
        <f t="shared" si="3"/>
        <v>668000</v>
      </c>
      <c r="G8" s="7">
        <f t="shared" si="3"/>
        <v>666000</v>
      </c>
      <c r="H8" s="7">
        <f t="shared" si="3"/>
        <v>668000</v>
      </c>
      <c r="I8" s="7">
        <f t="shared" si="3"/>
        <v>670000</v>
      </c>
      <c r="J8" s="7">
        <f t="shared" si="3"/>
        <v>676000</v>
      </c>
      <c r="K8" s="7">
        <f t="shared" si="3"/>
        <v>676000</v>
      </c>
      <c r="L8" s="7">
        <f t="shared" si="3"/>
        <v>674000</v>
      </c>
      <c r="M8" s="7">
        <f t="shared" si="3"/>
        <v>672000</v>
      </c>
      <c r="N8" s="7">
        <f t="shared" si="3"/>
        <v>676000</v>
      </c>
      <c r="O8" s="7">
        <f t="shared" si="3"/>
        <v>670000</v>
      </c>
      <c r="P8" s="7">
        <f t="shared" si="3"/>
        <v>674000</v>
      </c>
      <c r="Q8" s="7">
        <f t="shared" si="3"/>
        <v>674000</v>
      </c>
      <c r="R8" s="7">
        <f t="shared" si="3"/>
        <v>676000</v>
      </c>
      <c r="S8" s="7">
        <f t="shared" si="3"/>
        <v>670000</v>
      </c>
      <c r="T8" s="7">
        <f t="shared" si="3"/>
        <v>694000</v>
      </c>
      <c r="U8" s="7">
        <f t="shared" si="3"/>
        <v>698000</v>
      </c>
      <c r="V8" s="7">
        <f t="shared" si="3"/>
        <v>704000</v>
      </c>
      <c r="W8" s="7">
        <f t="shared" si="3"/>
        <v>700000</v>
      </c>
      <c r="X8" s="7">
        <f t="shared" si="3"/>
        <v>710000</v>
      </c>
      <c r="Y8" s="7">
        <f t="shared" si="3"/>
        <v>696000</v>
      </c>
      <c r="Z8" s="7">
        <f t="shared" si="3"/>
        <v>694000</v>
      </c>
      <c r="AA8" s="7">
        <f t="shared" si="3"/>
        <v>686000</v>
      </c>
      <c r="AB8" s="7">
        <f t="shared" si="3"/>
        <v>682000</v>
      </c>
      <c r="AC8" s="7">
        <f t="shared" si="3"/>
        <v>670000</v>
      </c>
      <c r="AD8" s="7">
        <f t="shared" si="3"/>
        <v>678000</v>
      </c>
      <c r="AE8" s="7">
        <f t="shared" si="3"/>
        <v>672000</v>
      </c>
      <c r="AF8" s="7">
        <f t="shared" si="3"/>
        <v>678000</v>
      </c>
      <c r="AG8" s="7">
        <f t="shared" si="3"/>
        <v>688000</v>
      </c>
      <c r="AH8" s="7">
        <f t="shared" si="3"/>
        <v>688000</v>
      </c>
      <c r="AI8" s="7">
        <f t="shared" si="3"/>
        <v>0</v>
      </c>
    </row>
    <row r="9" spans="1:35" s="3" customFormat="1" ht="24.95" customHeight="1">
      <c r="A9" s="51" t="s">
        <v>42</v>
      </c>
      <c r="B9" s="7" t="s">
        <v>38</v>
      </c>
      <c r="C9" s="7">
        <f>D9+'3月'!C9</f>
        <v>66340000</v>
      </c>
      <c r="D9" s="7">
        <f t="shared" si="1"/>
        <v>17656000</v>
      </c>
      <c r="E9" s="7">
        <v>576000</v>
      </c>
      <c r="F9" s="7">
        <v>578000</v>
      </c>
      <c r="G9" s="7">
        <v>574000</v>
      </c>
      <c r="H9" s="7">
        <v>584000</v>
      </c>
      <c r="I9" s="7">
        <v>578000</v>
      </c>
      <c r="J9" s="7">
        <v>586000</v>
      </c>
      <c r="K9" s="7">
        <v>586000</v>
      </c>
      <c r="L9" s="7">
        <v>580000</v>
      </c>
      <c r="M9" s="7">
        <v>582000</v>
      </c>
      <c r="N9" s="7">
        <v>584000</v>
      </c>
      <c r="O9" s="7">
        <v>584000</v>
      </c>
      <c r="P9" s="7">
        <v>582000</v>
      </c>
      <c r="Q9" s="7">
        <v>582000</v>
      </c>
      <c r="R9" s="7">
        <v>586000</v>
      </c>
      <c r="S9" s="7">
        <v>578000</v>
      </c>
      <c r="T9" s="7">
        <v>600000</v>
      </c>
      <c r="U9" s="7">
        <v>606000</v>
      </c>
      <c r="V9" s="7">
        <v>610000</v>
      </c>
      <c r="W9" s="7">
        <v>604000</v>
      </c>
      <c r="X9" s="7">
        <v>616000</v>
      </c>
      <c r="Y9" s="7">
        <v>600000</v>
      </c>
      <c r="Z9" s="7">
        <v>600000</v>
      </c>
      <c r="AA9" s="7">
        <v>592000</v>
      </c>
      <c r="AB9" s="7">
        <v>588000</v>
      </c>
      <c r="AC9" s="7">
        <v>578000</v>
      </c>
      <c r="AD9" s="7">
        <v>586000</v>
      </c>
      <c r="AE9" s="7">
        <v>580000</v>
      </c>
      <c r="AF9" s="7">
        <v>588000</v>
      </c>
      <c r="AG9" s="7">
        <v>590000</v>
      </c>
      <c r="AH9" s="7">
        <v>598000</v>
      </c>
      <c r="AI9" s="7"/>
    </row>
    <row r="10" spans="1:35" s="3" customFormat="1" ht="24.95" customHeight="1">
      <c r="A10" s="51"/>
      <c r="B10" s="6" t="s">
        <v>43</v>
      </c>
      <c r="C10" s="8">
        <f>C8/C5</f>
        <v>513.49389817751739</v>
      </c>
      <c r="D10" s="8">
        <f>D8/D5</f>
        <v>492.92798547200289</v>
      </c>
      <c r="E10" s="8">
        <f t="shared" ref="E10:AI10" si="4">SUM(E8/E5)</f>
        <v>503.14465408805029</v>
      </c>
      <c r="F10" s="8">
        <f t="shared" si="4"/>
        <v>527.85460292374557</v>
      </c>
      <c r="G10" s="8">
        <f t="shared" si="4"/>
        <v>512.9390018484288</v>
      </c>
      <c r="H10" s="8">
        <f t="shared" si="4"/>
        <v>525.98425196850394</v>
      </c>
      <c r="I10" s="8">
        <f t="shared" si="4"/>
        <v>521.928799563761</v>
      </c>
      <c r="J10" s="8">
        <f t="shared" si="4"/>
        <v>567.01895655091437</v>
      </c>
      <c r="K10" s="8">
        <f t="shared" si="4"/>
        <v>516.70106244745079</v>
      </c>
      <c r="L10" s="8">
        <f t="shared" si="4"/>
        <v>482.87720303768452</v>
      </c>
      <c r="M10" s="8">
        <f t="shared" si="4"/>
        <v>501.26808891541106</v>
      </c>
      <c r="N10" s="8">
        <f t="shared" si="4"/>
        <v>503.83841395244838</v>
      </c>
      <c r="O10" s="8">
        <f t="shared" si="4"/>
        <v>505.16474402473045</v>
      </c>
      <c r="P10" s="8">
        <f t="shared" si="4"/>
        <v>502.12322133651196</v>
      </c>
      <c r="Q10" s="8">
        <f t="shared" si="4"/>
        <v>492.97834991222942</v>
      </c>
      <c r="R10" s="8">
        <f t="shared" si="4"/>
        <v>517.05675386262806</v>
      </c>
      <c r="S10" s="8">
        <f t="shared" si="4"/>
        <v>482.60462436072896</v>
      </c>
      <c r="T10" s="8">
        <f t="shared" si="4"/>
        <v>494.02050113895211</v>
      </c>
      <c r="U10" s="8">
        <f t="shared" si="4"/>
        <v>501.43678160919541</v>
      </c>
      <c r="V10" s="8">
        <f t="shared" si="4"/>
        <v>476.25490461371936</v>
      </c>
      <c r="W10" s="8">
        <f t="shared" si="4"/>
        <v>477.03421016764344</v>
      </c>
      <c r="X10" s="8">
        <f t="shared" si="4"/>
        <v>477.69629280764309</v>
      </c>
      <c r="Y10" s="8">
        <f t="shared" si="4"/>
        <v>481.16142412720359</v>
      </c>
      <c r="Z10" s="8">
        <f t="shared" si="4"/>
        <v>463.68677757733684</v>
      </c>
      <c r="AA10" s="8">
        <f t="shared" si="4"/>
        <v>470.57209493757716</v>
      </c>
      <c r="AB10" s="8">
        <f t="shared" si="4"/>
        <v>493.34490740740739</v>
      </c>
      <c r="AC10" s="8">
        <f t="shared" si="4"/>
        <v>442.15666864647261</v>
      </c>
      <c r="AD10" s="8">
        <f t="shared" si="4"/>
        <v>472.73741458652916</v>
      </c>
      <c r="AE10" s="8">
        <f t="shared" si="4"/>
        <v>463.35240984623863</v>
      </c>
      <c r="AF10" s="8">
        <f t="shared" si="4"/>
        <v>457.82969815652643</v>
      </c>
      <c r="AG10" s="8">
        <f t="shared" si="4"/>
        <v>483.82559774964841</v>
      </c>
      <c r="AH10" s="8">
        <f t="shared" si="4"/>
        <v>510.57513914656772</v>
      </c>
      <c r="AI10" s="8" t="e">
        <f t="shared" si="4"/>
        <v>#DIV/0!</v>
      </c>
    </row>
    <row r="11" spans="1:35" s="3" customFormat="1" ht="24.95" customHeight="1">
      <c r="A11" s="51"/>
      <c r="B11" s="9" t="s">
        <v>44</v>
      </c>
      <c r="C11" s="8">
        <f>(C8-C16)/C5</f>
        <v>445.79592495027151</v>
      </c>
      <c r="D11" s="8">
        <f>(D8-D16)/D5</f>
        <v>426.37353083939269</v>
      </c>
      <c r="E11" s="8">
        <f>SUM(E9/E5)</f>
        <v>436.46283246192314</v>
      </c>
      <c r="F11" s="8">
        <f>SUM(F9/F5)</f>
        <v>456.73646779928885</v>
      </c>
      <c r="G11" s="8">
        <f>SUM(G9/G5)</f>
        <v>442.08256315465184</v>
      </c>
      <c r="H11" s="8">
        <f>SUM(H9/H5)</f>
        <v>459.84251968503935</v>
      </c>
      <c r="I11" s="8">
        <f>SUM(I9/I5)</f>
        <v>450.26096439978187</v>
      </c>
      <c r="J11" s="8">
        <f>SUM(J9/J5)</f>
        <v>491.52826706928374</v>
      </c>
      <c r="K11" s="8">
        <f>SUM(K9/K5)</f>
        <v>447.90950087900325</v>
      </c>
      <c r="L11" s="8">
        <f>SUM(L9/L5)</f>
        <v>415.53231121937239</v>
      </c>
      <c r="M11" s="8">
        <f>SUM(M9/M5)</f>
        <v>434.13396986423993</v>
      </c>
      <c r="N11" s="8">
        <f>SUM(N9/N5)</f>
        <v>435.2686889766714</v>
      </c>
      <c r="O11" s="8">
        <f>SUM(O9/O5)</f>
        <v>440.32270225439191</v>
      </c>
      <c r="P11" s="8">
        <f>SUM(P9/P5)</f>
        <v>433.58414661402071</v>
      </c>
      <c r="Q11" s="8">
        <f>SUM(Q9/Q5)</f>
        <v>425.68753657109426</v>
      </c>
      <c r="R11" s="8">
        <f>SUM(R9/R5)</f>
        <v>448.21783692825454</v>
      </c>
      <c r="S11" s="8">
        <f>SUM(S9/S5)</f>
        <v>416.33652668731543</v>
      </c>
      <c r="T11" s="8">
        <f>SUM(T9/T5)</f>
        <v>427.10706150341679</v>
      </c>
      <c r="U11" s="8">
        <f>SUM(U9/U5)</f>
        <v>435.34482758620692</v>
      </c>
      <c r="V11" s="8">
        <f>SUM(V9/V5)</f>
        <v>412.66405087268299</v>
      </c>
      <c r="W11" s="8">
        <f>SUM(W9/W5)</f>
        <v>411.61237563036661</v>
      </c>
      <c r="X11" s="8">
        <f>SUM(X9/X5)</f>
        <v>414.45199488663116</v>
      </c>
      <c r="Y11" s="8">
        <f>SUM(Y9/Y5)</f>
        <v>414.79433114414104</v>
      </c>
      <c r="Z11" s="8">
        <f>SUM(Z9/Z5)</f>
        <v>400.88194026859094</v>
      </c>
      <c r="AA11" s="8">
        <f>SUM(AA9/AA5)</f>
        <v>406.09137055837567</v>
      </c>
      <c r="AB11" s="8">
        <f>SUM(AB9/AB5)</f>
        <v>425.34722222222217</v>
      </c>
      <c r="AC11" s="8">
        <f>SUM(AC9/AC5)</f>
        <v>381.44261862337487</v>
      </c>
      <c r="AD11" s="8">
        <f>SUM(AD9/AD5)</f>
        <v>408.59015479012697</v>
      </c>
      <c r="AE11" s="8">
        <f>SUM(AE9/AE5)</f>
        <v>399.91725849824167</v>
      </c>
      <c r="AF11" s="8">
        <f>SUM(AF9/AF5)</f>
        <v>397.05584441893438</v>
      </c>
      <c r="AG11" s="8">
        <f>SUM(AG9/AG5)</f>
        <v>414.90857946554149</v>
      </c>
      <c r="AH11" s="8">
        <f>SUM(AH9/AH5)</f>
        <v>443.78478664192949</v>
      </c>
      <c r="AI11" s="8" t="e">
        <f>SUM(AI9/AI5)</f>
        <v>#DIV/0!</v>
      </c>
    </row>
    <row r="12" spans="1:35" s="3" customFormat="1" ht="24.95" customHeight="1">
      <c r="A12" s="51"/>
      <c r="B12" s="6" t="s">
        <v>45</v>
      </c>
      <c r="C12" s="8">
        <f>D12+'3月'!C12</f>
        <v>161580.33600000001</v>
      </c>
      <c r="D12" s="8">
        <f t="shared" ref="D12:D16" si="5">SUM(E12:AI12)</f>
        <v>46562.28</v>
      </c>
      <c r="E12" s="7">
        <v>1832.62</v>
      </c>
      <c r="F12" s="7">
        <v>1796.76</v>
      </c>
      <c r="G12" s="7">
        <v>1723.98</v>
      </c>
      <c r="H12" s="7">
        <v>1543.64</v>
      </c>
      <c r="I12" s="7">
        <v>1534.72</v>
      </c>
      <c r="J12" s="7">
        <v>1453.8</v>
      </c>
      <c r="K12" s="7">
        <v>1523.8</v>
      </c>
      <c r="L12" s="7">
        <v>1452.98</v>
      </c>
      <c r="M12" s="7">
        <v>1573.08</v>
      </c>
      <c r="N12" s="7">
        <v>1629.96</v>
      </c>
      <c r="O12" s="7">
        <v>1531.44</v>
      </c>
      <c r="P12" s="7">
        <v>1594.7</v>
      </c>
      <c r="Q12" s="7">
        <v>1631.34</v>
      </c>
      <c r="R12" s="7">
        <v>1691.86</v>
      </c>
      <c r="S12" s="7">
        <v>1632.7</v>
      </c>
      <c r="T12" s="7">
        <v>1614.58</v>
      </c>
      <c r="U12" s="7">
        <v>1646.84</v>
      </c>
      <c r="V12" s="7">
        <v>1701.56</v>
      </c>
      <c r="W12" s="7">
        <v>1656.32</v>
      </c>
      <c r="X12" s="7">
        <v>1739.74</v>
      </c>
      <c r="Y12" s="7">
        <v>1473.84</v>
      </c>
      <c r="Z12" s="7">
        <v>1649.76</v>
      </c>
      <c r="AA12" s="7">
        <v>1367</v>
      </c>
      <c r="AB12" s="7">
        <v>1297.6600000000001</v>
      </c>
      <c r="AC12" s="7">
        <v>1506.86</v>
      </c>
      <c r="AD12" s="12">
        <v>1330.6</v>
      </c>
      <c r="AE12" s="12">
        <v>1524.88</v>
      </c>
      <c r="AF12" s="7">
        <v>1357.96</v>
      </c>
      <c r="AG12" s="7">
        <v>1229.8399999999999</v>
      </c>
      <c r="AH12" s="7">
        <v>1317.46</v>
      </c>
      <c r="AI12" s="7"/>
    </row>
    <row r="13" spans="1:35" s="3" customFormat="1" ht="24.95" customHeight="1">
      <c r="A13" s="52" t="s">
        <v>46</v>
      </c>
      <c r="B13" s="6" t="s">
        <v>36</v>
      </c>
      <c r="C13" s="8">
        <f>D13+'3月'!C13</f>
        <v>165948</v>
      </c>
      <c r="D13" s="10">
        <f t="shared" si="5"/>
        <v>43004</v>
      </c>
      <c r="E13" s="7">
        <v>1431</v>
      </c>
      <c r="F13" s="7">
        <v>1431</v>
      </c>
      <c r="G13" s="7">
        <v>1437</v>
      </c>
      <c r="H13" s="7">
        <v>1434</v>
      </c>
      <c r="I13" s="7">
        <v>1431</v>
      </c>
      <c r="J13" s="7">
        <v>1434</v>
      </c>
      <c r="K13" s="7">
        <v>1412</v>
      </c>
      <c r="L13" s="7">
        <v>1421</v>
      </c>
      <c r="M13" s="27">
        <v>1432</v>
      </c>
      <c r="N13" s="7">
        <v>1431</v>
      </c>
      <c r="O13" s="7">
        <v>1429</v>
      </c>
      <c r="P13" s="27">
        <v>1423</v>
      </c>
      <c r="Q13" s="7">
        <v>1434</v>
      </c>
      <c r="R13" s="7">
        <v>1436</v>
      </c>
      <c r="S13" s="7">
        <v>1442</v>
      </c>
      <c r="T13" s="7">
        <v>1436</v>
      </c>
      <c r="U13" s="7">
        <v>1434</v>
      </c>
      <c r="V13" s="7">
        <v>1442</v>
      </c>
      <c r="W13" s="7">
        <v>1436</v>
      </c>
      <c r="X13" s="7">
        <v>1427</v>
      </c>
      <c r="Y13" s="7">
        <v>1428</v>
      </c>
      <c r="Z13" s="7">
        <v>1432</v>
      </c>
      <c r="AA13" s="7">
        <v>1438</v>
      </c>
      <c r="AB13" s="7">
        <v>1442</v>
      </c>
      <c r="AC13" s="7">
        <v>1430</v>
      </c>
      <c r="AD13" s="7">
        <v>1445</v>
      </c>
      <c r="AE13" s="7">
        <v>1434</v>
      </c>
      <c r="AF13" s="7">
        <v>1438</v>
      </c>
      <c r="AG13" s="7">
        <v>1441</v>
      </c>
      <c r="AH13" s="7">
        <v>1443</v>
      </c>
      <c r="AI13" s="7"/>
    </row>
    <row r="14" spans="1:35" s="3" customFormat="1" ht="24.95" customHeight="1">
      <c r="A14" s="55"/>
      <c r="B14" s="6" t="s">
        <v>37</v>
      </c>
      <c r="C14" s="8">
        <f>D14+'3月'!C14</f>
        <v>175901</v>
      </c>
      <c r="D14" s="10">
        <f t="shared" si="5"/>
        <v>47424</v>
      </c>
      <c r="E14" s="7">
        <v>1523</v>
      </c>
      <c r="F14" s="7">
        <v>1546</v>
      </c>
      <c r="G14" s="7">
        <v>1528</v>
      </c>
      <c r="H14" s="7">
        <v>1517</v>
      </c>
      <c r="I14" s="7">
        <v>1543</v>
      </c>
      <c r="J14" s="7">
        <v>1557</v>
      </c>
      <c r="K14" s="7">
        <v>1557</v>
      </c>
      <c r="L14" s="7">
        <v>1550</v>
      </c>
      <c r="M14" s="27">
        <v>1549</v>
      </c>
      <c r="N14" s="7">
        <v>1552</v>
      </c>
      <c r="O14" s="7">
        <v>1551</v>
      </c>
      <c r="P14" s="27">
        <v>1553</v>
      </c>
      <c r="Q14" s="7">
        <v>1555</v>
      </c>
      <c r="R14" s="7">
        <v>1561</v>
      </c>
      <c r="S14" s="7">
        <v>1535</v>
      </c>
      <c r="T14" s="7">
        <v>1627</v>
      </c>
      <c r="U14" s="7">
        <v>1659</v>
      </c>
      <c r="V14" s="7">
        <v>1662</v>
      </c>
      <c r="W14" s="7">
        <v>1655</v>
      </c>
      <c r="X14" s="7">
        <v>1680</v>
      </c>
      <c r="Y14" s="7">
        <v>1653</v>
      </c>
      <c r="Z14" s="7">
        <v>1643</v>
      </c>
      <c r="AA14" s="7">
        <v>1612</v>
      </c>
      <c r="AB14" s="7">
        <v>1595</v>
      </c>
      <c r="AC14" s="7">
        <v>1550</v>
      </c>
      <c r="AD14" s="7">
        <v>1571</v>
      </c>
      <c r="AE14" s="7">
        <v>1564</v>
      </c>
      <c r="AF14" s="7">
        <v>1568</v>
      </c>
      <c r="AG14" s="7">
        <v>1593</v>
      </c>
      <c r="AH14" s="7">
        <v>1615</v>
      </c>
      <c r="AI14" s="7"/>
    </row>
    <row r="15" spans="1:35" s="3" customFormat="1" ht="24" customHeight="1">
      <c r="A15" s="56"/>
      <c r="B15" s="7" t="s">
        <v>38</v>
      </c>
      <c r="C15" s="8">
        <f>D15+'3月'!C15</f>
        <v>341849</v>
      </c>
      <c r="D15" s="7">
        <f t="shared" si="5"/>
        <v>90428</v>
      </c>
      <c r="E15" s="7">
        <f>SUM(E13:E14)</f>
        <v>2954</v>
      </c>
      <c r="F15" s="7">
        <f>SUM(F13:F14)</f>
        <v>2977</v>
      </c>
      <c r="G15" s="7">
        <f t="shared" ref="G15:AI15" si="6">SUM(G13:G14)</f>
        <v>2965</v>
      </c>
      <c r="H15" s="7">
        <f t="shared" si="6"/>
        <v>2951</v>
      </c>
      <c r="I15" s="7">
        <f t="shared" si="6"/>
        <v>2974</v>
      </c>
      <c r="J15" s="7">
        <f t="shared" si="6"/>
        <v>2991</v>
      </c>
      <c r="K15" s="7">
        <f t="shared" si="6"/>
        <v>2969</v>
      </c>
      <c r="L15" s="7">
        <f t="shared" si="6"/>
        <v>2971</v>
      </c>
      <c r="M15" s="7">
        <f t="shared" si="6"/>
        <v>2981</v>
      </c>
      <c r="N15" s="7">
        <f t="shared" si="6"/>
        <v>2983</v>
      </c>
      <c r="O15" s="7">
        <f t="shared" si="6"/>
        <v>2980</v>
      </c>
      <c r="P15" s="7">
        <f t="shared" si="6"/>
        <v>2976</v>
      </c>
      <c r="Q15" s="7">
        <f t="shared" si="6"/>
        <v>2989</v>
      </c>
      <c r="R15" s="7">
        <f t="shared" si="6"/>
        <v>2997</v>
      </c>
      <c r="S15" s="7">
        <f t="shared" si="6"/>
        <v>2977</v>
      </c>
      <c r="T15" s="7">
        <f t="shared" si="6"/>
        <v>3063</v>
      </c>
      <c r="U15" s="7">
        <f t="shared" si="6"/>
        <v>3093</v>
      </c>
      <c r="V15" s="7">
        <f t="shared" si="6"/>
        <v>3104</v>
      </c>
      <c r="W15" s="7">
        <f t="shared" si="6"/>
        <v>3091</v>
      </c>
      <c r="X15" s="7">
        <f t="shared" si="6"/>
        <v>3107</v>
      </c>
      <c r="Y15" s="7">
        <f t="shared" si="6"/>
        <v>3081</v>
      </c>
      <c r="Z15" s="7">
        <f t="shared" si="6"/>
        <v>3075</v>
      </c>
      <c r="AA15" s="7">
        <f t="shared" si="6"/>
        <v>3050</v>
      </c>
      <c r="AB15" s="7">
        <f t="shared" si="6"/>
        <v>3037</v>
      </c>
      <c r="AC15" s="7">
        <f t="shared" si="6"/>
        <v>2980</v>
      </c>
      <c r="AD15" s="7">
        <f t="shared" si="6"/>
        <v>3016</v>
      </c>
      <c r="AE15" s="7">
        <f t="shared" si="6"/>
        <v>2998</v>
      </c>
      <c r="AF15" s="7">
        <f t="shared" si="6"/>
        <v>3006</v>
      </c>
      <c r="AG15" s="7">
        <f t="shared" si="6"/>
        <v>3034</v>
      </c>
      <c r="AH15" s="7">
        <f t="shared" si="6"/>
        <v>3058</v>
      </c>
      <c r="AI15" s="7">
        <f t="shared" si="6"/>
        <v>0</v>
      </c>
    </row>
    <row r="16" spans="1:35" s="3" customFormat="1" ht="24.95" customHeight="1">
      <c r="A16" s="51" t="s">
        <v>47</v>
      </c>
      <c r="B16" s="7" t="s">
        <v>38</v>
      </c>
      <c r="C16" s="8">
        <f>D16+'3月'!C16</f>
        <v>10074000</v>
      </c>
      <c r="D16" s="7">
        <f t="shared" si="5"/>
        <v>2756000</v>
      </c>
      <c r="E16" s="7">
        <v>88000</v>
      </c>
      <c r="F16" s="7">
        <v>90000</v>
      </c>
      <c r="G16" s="7">
        <v>92000</v>
      </c>
      <c r="H16" s="7">
        <v>84000</v>
      </c>
      <c r="I16" s="7">
        <v>92000</v>
      </c>
      <c r="J16" s="7">
        <v>90000</v>
      </c>
      <c r="K16" s="7">
        <v>90000</v>
      </c>
      <c r="L16" s="7">
        <v>94000</v>
      </c>
      <c r="M16" s="7">
        <v>90000</v>
      </c>
      <c r="N16" s="7">
        <v>92000</v>
      </c>
      <c r="O16" s="7">
        <v>86000</v>
      </c>
      <c r="P16" s="7">
        <v>92000</v>
      </c>
      <c r="Q16" s="7">
        <v>92000</v>
      </c>
      <c r="R16" s="7">
        <v>90000</v>
      </c>
      <c r="S16" s="7">
        <v>92000</v>
      </c>
      <c r="T16" s="7">
        <v>94000</v>
      </c>
      <c r="U16" s="7">
        <v>92000</v>
      </c>
      <c r="V16" s="7">
        <v>94000</v>
      </c>
      <c r="W16" s="7">
        <v>96000</v>
      </c>
      <c r="X16" s="7">
        <v>94000</v>
      </c>
      <c r="Y16" s="7">
        <v>96000</v>
      </c>
      <c r="Z16" s="7">
        <v>94000</v>
      </c>
      <c r="AA16" s="7">
        <v>94000</v>
      </c>
      <c r="AB16" s="7">
        <v>94000</v>
      </c>
      <c r="AC16" s="7">
        <v>92000</v>
      </c>
      <c r="AD16" s="7">
        <v>92000</v>
      </c>
      <c r="AE16" s="7">
        <v>92000</v>
      </c>
      <c r="AF16" s="7">
        <v>90000</v>
      </c>
      <c r="AG16" s="7">
        <v>98000</v>
      </c>
      <c r="AH16" s="7">
        <v>90000</v>
      </c>
      <c r="AI16" s="7"/>
    </row>
    <row r="17" spans="1:35" s="3" customFormat="1" ht="24.95" customHeight="1">
      <c r="A17" s="51"/>
      <c r="B17" s="7" t="s">
        <v>77</v>
      </c>
      <c r="C17" s="36">
        <f>369300+AE17+AF17+AG17+AH17+AI17</f>
        <v>390030</v>
      </c>
      <c r="D17" s="7">
        <f>115200+AE17+AF17+AG17+AH17+AI17</f>
        <v>135930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>
        <v>6300</v>
      </c>
      <c r="AE17" s="7">
        <v>5205</v>
      </c>
      <c r="AF17" s="7">
        <v>5100</v>
      </c>
      <c r="AG17" s="7">
        <v>5085</v>
      </c>
      <c r="AH17" s="7">
        <v>5340</v>
      </c>
      <c r="AI17" s="7"/>
    </row>
    <row r="18" spans="1:35" s="3" customFormat="1" ht="24.95" customHeight="1">
      <c r="A18" s="51"/>
      <c r="B18" s="6" t="s">
        <v>48</v>
      </c>
      <c r="C18" s="11">
        <f>SUM(C16/C8)</f>
        <v>0.1318379312149924</v>
      </c>
      <c r="D18" s="11">
        <f>SUM(D16/D8)</f>
        <v>0.13501861650009797</v>
      </c>
      <c r="E18" s="11">
        <f>SUM(E16/E8)</f>
        <v>0.13253012048192772</v>
      </c>
      <c r="F18" s="11">
        <f>SUM(F16/F8)</f>
        <v>0.1347305389221557</v>
      </c>
      <c r="G18" s="11">
        <f>SUM(G16/G8)</f>
        <v>0.13813813813813813</v>
      </c>
      <c r="H18" s="11">
        <f>SUM(H16/H8)</f>
        <v>0.12574850299401197</v>
      </c>
      <c r="I18" s="11">
        <f>SUM(I16/I8)</f>
        <v>0.1373134328358209</v>
      </c>
      <c r="J18" s="11">
        <f>SUM(J16/J8)</f>
        <v>0.13313609467455623</v>
      </c>
      <c r="K18" s="11">
        <f>SUM(K16/K8)</f>
        <v>0.13313609467455623</v>
      </c>
      <c r="L18" s="11">
        <f>SUM(L16/L8)</f>
        <v>0.1394658753709199</v>
      </c>
      <c r="M18" s="11">
        <f>SUM(M16/M8)</f>
        <v>0.13392857142857142</v>
      </c>
      <c r="N18" s="11">
        <f>SUM(N16/N8)</f>
        <v>0.13609467455621302</v>
      </c>
      <c r="O18" s="11">
        <f>SUM(O16/O8)</f>
        <v>0.12835820895522387</v>
      </c>
      <c r="P18" s="11">
        <f>SUM(P16/P8)</f>
        <v>0.13649851632047477</v>
      </c>
      <c r="Q18" s="11">
        <f>SUM(Q16/Q8)</f>
        <v>0.13649851632047477</v>
      </c>
      <c r="R18" s="11">
        <f>SUM(R16/R8)</f>
        <v>0.13313609467455623</v>
      </c>
      <c r="S18" s="11">
        <f>SUM(S16/S8)</f>
        <v>0.1373134328358209</v>
      </c>
      <c r="T18" s="11">
        <f>SUM(T16/T8)</f>
        <v>0.13544668587896252</v>
      </c>
      <c r="U18" s="11">
        <f>SUM(U16/U8)</f>
        <v>0.1318051575931232</v>
      </c>
      <c r="V18" s="11">
        <f>SUM(V16/V8)</f>
        <v>0.13352272727272727</v>
      </c>
      <c r="W18" s="11">
        <f>SUM(W16/W8)</f>
        <v>0.13714285714285715</v>
      </c>
      <c r="X18" s="11">
        <f>SUM(X16/X8)</f>
        <v>0.13239436619718309</v>
      </c>
      <c r="Y18" s="11">
        <f>SUM(Y16/Y8)</f>
        <v>0.13793103448275862</v>
      </c>
      <c r="Z18" s="11">
        <f>SUM(Z16/Z8)</f>
        <v>0.13544668587896252</v>
      </c>
      <c r="AA18" s="11">
        <f>SUM(AA16/AA8)</f>
        <v>0.13702623906705538</v>
      </c>
      <c r="AB18" s="11">
        <f>SUM(AB16/AB8)</f>
        <v>0.1378299120234604</v>
      </c>
      <c r="AC18" s="11">
        <f>SUM(AC16/AC8)</f>
        <v>0.1373134328358209</v>
      </c>
      <c r="AD18" s="11">
        <f>SUM(AD16/AD8)</f>
        <v>0.13569321533923304</v>
      </c>
      <c r="AE18" s="11">
        <f>SUM(AE16/AE8)</f>
        <v>0.13690476190476192</v>
      </c>
      <c r="AF18" s="11">
        <f>SUM(AF16/AF8)</f>
        <v>0.13274336283185842</v>
      </c>
      <c r="AG18" s="11">
        <f>SUM(AG16/AG8)</f>
        <v>0.14244186046511628</v>
      </c>
      <c r="AH18" s="11">
        <f>SUM(AH16/AH8)</f>
        <v>0.1308139534883721</v>
      </c>
      <c r="AI18" s="11" t="e">
        <f>SUM(AI16/AI8)</f>
        <v>#DIV/0!</v>
      </c>
    </row>
    <row r="19" spans="1:35" s="3" customFormat="1" ht="24.95" customHeight="1">
      <c r="A19" s="13"/>
      <c r="B19" s="13" t="s">
        <v>49</v>
      </c>
      <c r="C19" s="7"/>
      <c r="D19" s="7">
        <f t="shared" ref="D19" si="7">COUNT(E19:AI19)</f>
        <v>30</v>
      </c>
      <c r="E19" s="14">
        <v>9600</v>
      </c>
      <c r="F19" s="14">
        <v>9700</v>
      </c>
      <c r="G19" s="14">
        <v>10100</v>
      </c>
      <c r="H19" s="14">
        <v>10200</v>
      </c>
      <c r="I19" s="14">
        <v>10300</v>
      </c>
      <c r="J19" s="14">
        <v>10300</v>
      </c>
      <c r="K19" s="14">
        <v>10200</v>
      </c>
      <c r="L19" s="14">
        <v>10200</v>
      </c>
      <c r="M19" s="7">
        <v>10200</v>
      </c>
      <c r="N19" s="7">
        <v>10100</v>
      </c>
      <c r="O19" s="7">
        <v>10300</v>
      </c>
      <c r="P19" s="7">
        <v>10300</v>
      </c>
      <c r="Q19" s="7">
        <v>10500</v>
      </c>
      <c r="R19" s="7">
        <v>10700</v>
      </c>
      <c r="S19" s="7">
        <v>10800</v>
      </c>
      <c r="T19" s="7">
        <v>10900</v>
      </c>
      <c r="U19" s="7">
        <v>10900</v>
      </c>
      <c r="V19" s="7">
        <v>11000</v>
      </c>
      <c r="W19" s="7">
        <v>10900</v>
      </c>
      <c r="X19" s="7">
        <v>10900</v>
      </c>
      <c r="Y19" s="7">
        <v>10700</v>
      </c>
      <c r="Z19" s="7">
        <v>10800</v>
      </c>
      <c r="AA19" s="7">
        <v>10400</v>
      </c>
      <c r="AB19" s="7">
        <v>10100</v>
      </c>
      <c r="AC19" s="7">
        <v>10000</v>
      </c>
      <c r="AD19" s="7">
        <v>9700</v>
      </c>
      <c r="AE19" s="7">
        <v>9700</v>
      </c>
      <c r="AF19" s="7">
        <v>9300</v>
      </c>
      <c r="AG19" s="7">
        <v>8900</v>
      </c>
      <c r="AH19" s="7">
        <v>8500</v>
      </c>
      <c r="AI19" s="7"/>
    </row>
    <row r="20" spans="1:35" s="3" customFormat="1" ht="24.95" customHeight="1">
      <c r="A20" s="62" t="s">
        <v>50</v>
      </c>
      <c r="B20" s="13" t="s">
        <v>51</v>
      </c>
      <c r="C20" s="7">
        <f>D20+'3月'!C19</f>
        <v>31005.620000000003</v>
      </c>
      <c r="D20" s="7">
        <f t="shared" ref="D20:D33" si="8">SUM(E20:AI20)</f>
        <v>9468.24</v>
      </c>
      <c r="E20" s="7">
        <v>522.22</v>
      </c>
      <c r="F20" s="15">
        <v>480.52</v>
      </c>
      <c r="G20" s="15">
        <v>559</v>
      </c>
      <c r="H20" s="15">
        <v>498</v>
      </c>
      <c r="I20" s="15">
        <v>420.2</v>
      </c>
      <c r="J20" s="15">
        <v>304.60000000000002</v>
      </c>
      <c r="K20" s="15">
        <v>243.94</v>
      </c>
      <c r="L20" s="15">
        <v>247.3</v>
      </c>
      <c r="M20" s="15">
        <v>306.04000000000002</v>
      </c>
      <c r="N20" s="15">
        <v>280.10000000000002</v>
      </c>
      <c r="O20" s="15">
        <v>277.44</v>
      </c>
      <c r="P20" s="15">
        <v>290.62</v>
      </c>
      <c r="Q20" s="15">
        <v>320.06</v>
      </c>
      <c r="R20" s="17">
        <v>296.02</v>
      </c>
      <c r="S20" s="15">
        <v>301.3</v>
      </c>
      <c r="T20" s="15">
        <v>271.74</v>
      </c>
      <c r="U20" s="15">
        <v>263.2</v>
      </c>
      <c r="V20" s="15">
        <v>304.5</v>
      </c>
      <c r="W20" s="15">
        <v>290.95999999999998</v>
      </c>
      <c r="X20" s="15">
        <v>280.18</v>
      </c>
      <c r="Y20" s="15">
        <v>246.32</v>
      </c>
      <c r="Z20" s="15">
        <v>246.74</v>
      </c>
      <c r="AA20" s="15">
        <v>269.54000000000002</v>
      </c>
      <c r="AB20" s="15">
        <v>261.66000000000003</v>
      </c>
      <c r="AC20" s="15">
        <v>312.2</v>
      </c>
      <c r="AD20" s="15">
        <v>333.56</v>
      </c>
      <c r="AE20" s="15">
        <v>248.92</v>
      </c>
      <c r="AF20" s="15">
        <v>286.94</v>
      </c>
      <c r="AG20" s="15">
        <v>254.86</v>
      </c>
      <c r="AH20" s="15">
        <v>249.56</v>
      </c>
      <c r="AI20" s="15"/>
    </row>
    <row r="21" spans="1:35" s="3" customFormat="1" ht="24.95" customHeight="1">
      <c r="A21" s="63"/>
      <c r="B21" s="16" t="s">
        <v>52</v>
      </c>
      <c r="C21" s="7">
        <f>D21+'3月'!C20</f>
        <v>3424.5199999999995</v>
      </c>
      <c r="D21" s="7">
        <f t="shared" si="8"/>
        <v>0</v>
      </c>
      <c r="E21" s="17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3"/>
      <c r="B22" s="16" t="s">
        <v>53</v>
      </c>
      <c r="C22" s="7">
        <f>D22+'3月'!C21</f>
        <v>0</v>
      </c>
      <c r="D22" s="7">
        <f t="shared" si="8"/>
        <v>0</v>
      </c>
      <c r="E22" s="17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4.95" customHeight="1">
      <c r="A23" s="63"/>
      <c r="B23" s="13" t="s">
        <v>54</v>
      </c>
      <c r="C23" s="7">
        <f>D23+'3月'!C22</f>
        <v>0</v>
      </c>
      <c r="D23" s="7">
        <f t="shared" si="8"/>
        <v>0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3" t="s">
        <v>55</v>
      </c>
      <c r="C24" s="7">
        <f>D24+'3月'!C23</f>
        <v>0</v>
      </c>
      <c r="D24" s="7">
        <f t="shared" si="8"/>
        <v>0</v>
      </c>
      <c r="E24" s="17"/>
      <c r="F24" s="15"/>
      <c r="G24" s="15"/>
      <c r="H24" s="15"/>
      <c r="I24" s="17"/>
      <c r="J24" s="17"/>
      <c r="K24" s="15"/>
      <c r="L24" s="17"/>
      <c r="M24" s="15"/>
      <c r="N24" s="15"/>
      <c r="O24" s="15"/>
      <c r="P24" s="17"/>
      <c r="Q24" s="15"/>
      <c r="R24" s="17"/>
      <c r="S24" s="15"/>
      <c r="T24" s="17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7"/>
      <c r="AI24" s="15"/>
    </row>
    <row r="25" spans="1:35" s="3" customFormat="1" ht="22.15" customHeight="1">
      <c r="A25" s="63"/>
      <c r="B25" s="18" t="s">
        <v>56</v>
      </c>
      <c r="C25" s="7">
        <f>D25+'3月'!C24</f>
        <v>0</v>
      </c>
      <c r="D25" s="7">
        <f t="shared" si="8"/>
        <v>0</v>
      </c>
      <c r="E25" s="17"/>
      <c r="F25" s="15"/>
      <c r="G25" s="15"/>
      <c r="H25" s="15"/>
      <c r="I25" s="17"/>
      <c r="J25" s="17"/>
      <c r="K25" s="15"/>
      <c r="L25" s="17"/>
      <c r="M25" s="15"/>
      <c r="N25" s="15"/>
      <c r="O25" s="15"/>
      <c r="P25" s="17"/>
      <c r="Q25" s="15"/>
      <c r="R25" s="17"/>
      <c r="S25" s="15"/>
      <c r="T25" s="17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7"/>
      <c r="AI25" s="15"/>
    </row>
    <row r="26" spans="1:35" s="3" customFormat="1" ht="22.15" customHeight="1">
      <c r="A26" s="63"/>
      <c r="B26" s="16" t="s">
        <v>57</v>
      </c>
      <c r="C26" s="7">
        <f>D26+'3月'!C25</f>
        <v>27263.379999999997</v>
      </c>
      <c r="D26" s="7">
        <f t="shared" si="8"/>
        <v>7233.9199999999983</v>
      </c>
      <c r="E26" s="17">
        <v>280.74</v>
      </c>
      <c r="F26" s="15">
        <v>245.52</v>
      </c>
      <c r="G26" s="15">
        <v>243.06</v>
      </c>
      <c r="H26" s="15">
        <v>229.96</v>
      </c>
      <c r="I26" s="17">
        <v>229.7</v>
      </c>
      <c r="J26" s="17">
        <v>203.7</v>
      </c>
      <c r="K26" s="15">
        <v>271.92</v>
      </c>
      <c r="L26" s="17">
        <v>195.3</v>
      </c>
      <c r="M26" s="15">
        <v>244.94</v>
      </c>
      <c r="N26" s="15">
        <v>219.18</v>
      </c>
      <c r="O26" s="15">
        <v>237.42</v>
      </c>
      <c r="P26" s="17">
        <v>228.44</v>
      </c>
      <c r="Q26" s="15">
        <v>251.66</v>
      </c>
      <c r="R26" s="17">
        <v>236.92</v>
      </c>
      <c r="S26" s="15">
        <v>236.04</v>
      </c>
      <c r="T26" s="17">
        <v>209.98</v>
      </c>
      <c r="U26" s="15">
        <v>287.18</v>
      </c>
      <c r="V26" s="15">
        <v>240.16</v>
      </c>
      <c r="W26" s="15">
        <v>256.04000000000002</v>
      </c>
      <c r="X26" s="15">
        <v>220.28</v>
      </c>
      <c r="Y26" s="15">
        <v>250.16</v>
      </c>
      <c r="Z26" s="15">
        <v>228.62</v>
      </c>
      <c r="AA26" s="15">
        <v>258.66000000000003</v>
      </c>
      <c r="AB26" s="15">
        <v>221.86</v>
      </c>
      <c r="AC26" s="15">
        <v>247.92</v>
      </c>
      <c r="AD26" s="15">
        <v>242.94</v>
      </c>
      <c r="AE26" s="15">
        <v>266.44</v>
      </c>
      <c r="AF26" s="15">
        <v>242.68</v>
      </c>
      <c r="AG26" s="15">
        <v>258.8</v>
      </c>
      <c r="AH26" s="17">
        <v>247.7</v>
      </c>
      <c r="AI26" s="15"/>
    </row>
    <row r="27" spans="1:35" s="3" customFormat="1" ht="22.15" customHeight="1">
      <c r="A27" s="63"/>
      <c r="B27" s="13" t="s">
        <v>58</v>
      </c>
      <c r="C27" s="7">
        <f>D27+'3月'!C26</f>
        <v>0</v>
      </c>
      <c r="D27" s="7">
        <f t="shared" si="8"/>
        <v>0</v>
      </c>
      <c r="E27" s="17"/>
      <c r="F27" s="15"/>
      <c r="G27" s="15"/>
      <c r="H27" s="15"/>
      <c r="I27" s="17"/>
      <c r="J27" s="17"/>
      <c r="K27" s="15"/>
      <c r="L27" s="17"/>
      <c r="M27" s="15"/>
      <c r="N27" s="15"/>
      <c r="O27" s="15"/>
      <c r="P27" s="17"/>
      <c r="Q27" s="15"/>
      <c r="R27" s="17"/>
      <c r="S27" s="15"/>
      <c r="T27" s="17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7"/>
      <c r="AI27" s="15"/>
    </row>
    <row r="28" spans="1:35" s="3" customFormat="1" ht="22.15" customHeight="1">
      <c r="A28" s="63"/>
      <c r="B28" s="19" t="s">
        <v>59</v>
      </c>
      <c r="C28" s="7">
        <f>D28+'3月'!C27</f>
        <v>24193.420000000002</v>
      </c>
      <c r="D28" s="7">
        <f t="shared" si="8"/>
        <v>5335.64</v>
      </c>
      <c r="E28" s="17">
        <v>309.33999999999997</v>
      </c>
      <c r="F28" s="15">
        <v>303.8</v>
      </c>
      <c r="G28" s="15">
        <v>192.1</v>
      </c>
      <c r="H28" s="15">
        <v>171.66</v>
      </c>
      <c r="I28" s="17">
        <v>182.04</v>
      </c>
      <c r="J28" s="17">
        <v>219.52</v>
      </c>
      <c r="K28" s="15">
        <v>235.78</v>
      </c>
      <c r="L28" s="17">
        <v>308.36</v>
      </c>
      <c r="M28" s="15">
        <v>282.10000000000002</v>
      </c>
      <c r="N28" s="15">
        <v>287.77999999999997</v>
      </c>
      <c r="O28" s="15">
        <v>280.95999999999998</v>
      </c>
      <c r="P28" s="17">
        <v>264.36</v>
      </c>
      <c r="Q28" s="15">
        <v>305.62</v>
      </c>
      <c r="R28" s="17">
        <v>271.60000000000002</v>
      </c>
      <c r="S28" s="15">
        <v>204.82</v>
      </c>
      <c r="T28" s="17">
        <v>195.74</v>
      </c>
      <c r="U28" s="15">
        <v>255.82</v>
      </c>
      <c r="V28" s="15">
        <v>274.39999999999998</v>
      </c>
      <c r="W28" s="15">
        <v>200.66</v>
      </c>
      <c r="X28" s="15">
        <v>206.02</v>
      </c>
      <c r="Y28" s="15">
        <v>170.6</v>
      </c>
      <c r="Z28" s="15">
        <v>212.56</v>
      </c>
      <c r="AA28" s="15"/>
      <c r="AB28" s="15"/>
      <c r="AC28" s="15"/>
      <c r="AD28" s="15"/>
      <c r="AE28" s="15"/>
      <c r="AF28" s="15"/>
      <c r="AG28" s="15"/>
      <c r="AH28" s="17"/>
      <c r="AI28" s="15"/>
    </row>
    <row r="29" spans="1:35" s="3" customFormat="1" ht="22.15" customHeight="1">
      <c r="A29" s="63"/>
      <c r="B29" s="19" t="s">
        <v>60</v>
      </c>
      <c r="C29" s="7">
        <f>D29+'3月'!C28</f>
        <v>20289.36</v>
      </c>
      <c r="D29" s="7">
        <f t="shared" si="8"/>
        <v>8005.7000000000007</v>
      </c>
      <c r="E29" s="17">
        <v>174.16</v>
      </c>
      <c r="F29" s="15">
        <v>184.24</v>
      </c>
      <c r="G29" s="15">
        <v>188.5</v>
      </c>
      <c r="H29" s="15">
        <v>88.68</v>
      </c>
      <c r="I29" s="17">
        <v>168.08</v>
      </c>
      <c r="J29" s="17">
        <v>151.4</v>
      </c>
      <c r="K29" s="15">
        <v>193.66</v>
      </c>
      <c r="L29" s="17">
        <v>193.78</v>
      </c>
      <c r="M29" s="15">
        <v>253.2</v>
      </c>
      <c r="N29" s="15">
        <v>250.38</v>
      </c>
      <c r="O29" s="15">
        <v>292.22000000000003</v>
      </c>
      <c r="P29" s="17">
        <v>341.76</v>
      </c>
      <c r="Q29" s="15">
        <v>229.58</v>
      </c>
      <c r="R29" s="17">
        <v>352.58</v>
      </c>
      <c r="S29" s="15">
        <v>297.10000000000002</v>
      </c>
      <c r="T29" s="17">
        <v>367.94</v>
      </c>
      <c r="U29" s="15">
        <v>328.98</v>
      </c>
      <c r="V29" s="15">
        <v>379.2</v>
      </c>
      <c r="W29" s="15">
        <v>348</v>
      </c>
      <c r="X29" s="15">
        <v>420.58</v>
      </c>
      <c r="Y29" s="15">
        <v>277.88</v>
      </c>
      <c r="Z29" s="15">
        <v>354.34</v>
      </c>
      <c r="AA29" s="15">
        <v>285.60000000000002</v>
      </c>
      <c r="AB29" s="15">
        <v>328.94</v>
      </c>
      <c r="AC29" s="15">
        <v>366.24</v>
      </c>
      <c r="AD29" s="15">
        <v>156.54</v>
      </c>
      <c r="AE29" s="15">
        <v>385.78</v>
      </c>
      <c r="AF29" s="15">
        <v>145.58000000000001</v>
      </c>
      <c r="AG29" s="15">
        <v>169.14</v>
      </c>
      <c r="AH29" s="17">
        <v>331.64</v>
      </c>
      <c r="AI29" s="15"/>
    </row>
    <row r="30" spans="1:35" s="3" customFormat="1" ht="22.15" customHeight="1">
      <c r="A30" s="63"/>
      <c r="B30" s="19" t="s">
        <v>61</v>
      </c>
      <c r="C30" s="7">
        <f>D30+'3月'!C29</f>
        <v>54993.919999999998</v>
      </c>
      <c r="D30" s="7">
        <f t="shared" si="8"/>
        <v>16518.780000000002</v>
      </c>
      <c r="E30" s="17">
        <v>546.16</v>
      </c>
      <c r="F30" s="15">
        <v>582.67999999999995</v>
      </c>
      <c r="G30" s="15">
        <v>541.32000000000005</v>
      </c>
      <c r="H30" s="15">
        <v>555.34</v>
      </c>
      <c r="I30" s="17">
        <v>534.70000000000005</v>
      </c>
      <c r="J30" s="17">
        <v>574.58000000000004</v>
      </c>
      <c r="K30" s="15">
        <v>578.5</v>
      </c>
      <c r="L30" s="17">
        <v>508.24</v>
      </c>
      <c r="M30" s="15">
        <v>486.8</v>
      </c>
      <c r="N30" s="15">
        <v>592.52</v>
      </c>
      <c r="O30" s="15">
        <v>443.4</v>
      </c>
      <c r="P30" s="17">
        <v>469.52</v>
      </c>
      <c r="Q30" s="15">
        <v>524.41999999999996</v>
      </c>
      <c r="R30" s="17">
        <v>534.74</v>
      </c>
      <c r="S30" s="15">
        <v>593.44000000000005</v>
      </c>
      <c r="T30" s="17">
        <v>569.17999999999995</v>
      </c>
      <c r="U30" s="15">
        <v>511.66</v>
      </c>
      <c r="V30" s="15">
        <v>503.3</v>
      </c>
      <c r="W30" s="15">
        <v>560.66</v>
      </c>
      <c r="X30" s="15">
        <v>612.67999999999995</v>
      </c>
      <c r="Y30" s="15">
        <v>528.88</v>
      </c>
      <c r="Z30" s="15">
        <v>607.5</v>
      </c>
      <c r="AA30" s="15">
        <v>553.20000000000005</v>
      </c>
      <c r="AB30" s="15">
        <v>485.2</v>
      </c>
      <c r="AC30" s="15">
        <v>580.5</v>
      </c>
      <c r="AD30" s="15">
        <v>597.55999999999995</v>
      </c>
      <c r="AE30" s="15">
        <v>623.74</v>
      </c>
      <c r="AF30" s="15">
        <v>682.76</v>
      </c>
      <c r="AG30" s="15">
        <v>547.04</v>
      </c>
      <c r="AH30" s="17">
        <v>488.56</v>
      </c>
      <c r="AI30" s="15"/>
    </row>
    <row r="31" spans="1:35" s="3" customFormat="1" ht="22.15" customHeight="1">
      <c r="A31" s="63"/>
      <c r="B31" s="19" t="s">
        <v>62</v>
      </c>
      <c r="C31" s="7">
        <f>D31+'3月'!C30</f>
        <v>32.82</v>
      </c>
      <c r="D31" s="7">
        <f t="shared" si="8"/>
        <v>0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7"/>
      <c r="AI31" s="15"/>
    </row>
    <row r="32" spans="1:35" s="3" customFormat="1" ht="22.15" customHeight="1">
      <c r="A32" s="63"/>
      <c r="B32" s="19" t="s">
        <v>63</v>
      </c>
      <c r="C32" s="7">
        <f>D32+'3月'!C31</f>
        <v>0</v>
      </c>
      <c r="D32" s="7">
        <f t="shared" si="8"/>
        <v>0</v>
      </c>
      <c r="E32" s="17"/>
      <c r="F32" s="15"/>
      <c r="G32" s="15"/>
      <c r="H32" s="15"/>
      <c r="I32" s="17"/>
      <c r="J32" s="17"/>
      <c r="K32" s="15"/>
      <c r="L32" s="17"/>
      <c r="M32" s="15"/>
      <c r="N32" s="15"/>
      <c r="O32" s="15"/>
      <c r="P32" s="17"/>
      <c r="Q32" s="15"/>
      <c r="R32" s="17"/>
      <c r="S32" s="15"/>
      <c r="T32" s="17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7"/>
      <c r="AI32" s="15"/>
    </row>
    <row r="33" spans="1:35" s="3" customFormat="1" ht="22.15" customHeight="1">
      <c r="A33" s="63"/>
      <c r="B33" s="19" t="s">
        <v>64</v>
      </c>
      <c r="C33" s="7">
        <f>D33+'3月'!C32</f>
        <v>377.3</v>
      </c>
      <c r="D33" s="7">
        <f t="shared" si="8"/>
        <v>0</v>
      </c>
      <c r="E33" s="17"/>
      <c r="F33" s="15"/>
      <c r="G33" s="15"/>
      <c r="H33" s="15"/>
      <c r="I33" s="17"/>
      <c r="J33" s="17"/>
      <c r="K33" s="15"/>
      <c r="L33" s="17"/>
      <c r="M33" s="15"/>
      <c r="N33" s="15"/>
      <c r="O33" s="15"/>
      <c r="P33" s="17"/>
      <c r="Q33" s="15"/>
      <c r="R33" s="17"/>
      <c r="S33" s="15"/>
      <c r="T33" s="17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28"/>
      <c r="AF33" s="28"/>
      <c r="AG33" s="15"/>
      <c r="AH33" s="17"/>
      <c r="AI33" s="15"/>
    </row>
    <row r="34" spans="1:35" s="3" customFormat="1" ht="22.15" hidden="1" customHeight="1">
      <c r="A34" s="63"/>
      <c r="B34" s="19"/>
      <c r="C34" s="7">
        <f>D34+'3月'!C33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5">
        <v>0</v>
      </c>
      <c r="AF34" s="17"/>
      <c r="AG34" s="17"/>
      <c r="AH34" s="17"/>
      <c r="AI34" s="17"/>
    </row>
    <row r="35" spans="1:35" s="3" customFormat="1" ht="22.15" hidden="1" customHeight="1">
      <c r="A35" s="63"/>
      <c r="B35" s="19"/>
      <c r="C35" s="7">
        <f>D35+'3月'!C34</f>
        <v>0</v>
      </c>
      <c r="D35" s="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3" customFormat="1" ht="26.1" customHeight="1">
      <c r="A36" s="64"/>
      <c r="B36" s="12" t="s">
        <v>65</v>
      </c>
      <c r="C36" s="7">
        <f>D36+'3月'!C35</f>
        <v>161580.34000000003</v>
      </c>
      <c r="D36" s="7">
        <f>SUM(D20:D35)</f>
        <v>46562.28</v>
      </c>
      <c r="E36" s="7">
        <f>SUM(E20:E35)</f>
        <v>1832.62</v>
      </c>
      <c r="F36" s="7">
        <f t="shared" ref="F36:AI36" si="9">SUM(F20:F35)</f>
        <v>1796.7599999999998</v>
      </c>
      <c r="G36" s="7">
        <f t="shared" si="9"/>
        <v>1723.98</v>
      </c>
      <c r="H36" s="7">
        <f t="shared" si="9"/>
        <v>1543.6399999999999</v>
      </c>
      <c r="I36" s="7">
        <f t="shared" si="9"/>
        <v>1534.72</v>
      </c>
      <c r="J36" s="7">
        <f t="shared" si="9"/>
        <v>1453.8000000000002</v>
      </c>
      <c r="K36" s="7">
        <f t="shared" si="9"/>
        <v>1523.8</v>
      </c>
      <c r="L36" s="7">
        <f t="shared" si="9"/>
        <v>1452.98</v>
      </c>
      <c r="M36" s="7">
        <f t="shared" si="9"/>
        <v>1573.08</v>
      </c>
      <c r="N36" s="7">
        <f t="shared" si="9"/>
        <v>1629.96</v>
      </c>
      <c r="O36" s="7">
        <f t="shared" si="9"/>
        <v>1531.44</v>
      </c>
      <c r="P36" s="7">
        <f t="shared" si="9"/>
        <v>1594.6999999999998</v>
      </c>
      <c r="Q36" s="7">
        <f t="shared" si="9"/>
        <v>1631.3400000000001</v>
      </c>
      <c r="R36" s="7">
        <f t="shared" si="9"/>
        <v>1691.86</v>
      </c>
      <c r="S36" s="7">
        <f t="shared" si="9"/>
        <v>1632.7000000000003</v>
      </c>
      <c r="T36" s="7">
        <f t="shared" si="9"/>
        <v>1614.58</v>
      </c>
      <c r="U36" s="7">
        <f t="shared" si="9"/>
        <v>1646.8400000000001</v>
      </c>
      <c r="V36" s="7">
        <f t="shared" si="9"/>
        <v>1701.56</v>
      </c>
      <c r="W36" s="7">
        <f t="shared" si="9"/>
        <v>1656.3199999999997</v>
      </c>
      <c r="X36" s="7">
        <f t="shared" si="9"/>
        <v>1739.7399999999998</v>
      </c>
      <c r="Y36" s="7">
        <f t="shared" si="9"/>
        <v>1473.8400000000001</v>
      </c>
      <c r="Z36" s="7">
        <f t="shared" si="9"/>
        <v>1649.76</v>
      </c>
      <c r="AA36" s="7">
        <f t="shared" si="9"/>
        <v>1367</v>
      </c>
      <c r="AB36" s="7">
        <f t="shared" si="9"/>
        <v>1297.6600000000001</v>
      </c>
      <c r="AC36" s="7">
        <f t="shared" si="9"/>
        <v>1506.8600000000001</v>
      </c>
      <c r="AD36" s="7">
        <f t="shared" si="9"/>
        <v>1330.6</v>
      </c>
      <c r="AE36" s="7">
        <f>SUM(AE20:AE33)</f>
        <v>1524.88</v>
      </c>
      <c r="AF36" s="7">
        <f t="shared" si="9"/>
        <v>1357.96</v>
      </c>
      <c r="AG36" s="7">
        <f t="shared" si="9"/>
        <v>1229.8400000000001</v>
      </c>
      <c r="AH36" s="7">
        <f t="shared" si="9"/>
        <v>1317.46</v>
      </c>
      <c r="AI36" s="7">
        <f t="shared" si="9"/>
        <v>0</v>
      </c>
    </row>
    <row r="37" spans="1:35" s="3" customFormat="1" ht="26.25" customHeight="1">
      <c r="A37" s="61" t="s">
        <v>68</v>
      </c>
      <c r="B37" s="12" t="s">
        <v>66</v>
      </c>
      <c r="C37" s="7">
        <f>D37+'3月'!C36</f>
        <v>36133.1</v>
      </c>
      <c r="D37" s="7">
        <f>SUM(E37:AI37)</f>
        <v>10764.999999999998</v>
      </c>
      <c r="E37" s="7">
        <v>284.72000000000003</v>
      </c>
      <c r="F37" s="7">
        <v>375.5</v>
      </c>
      <c r="G37" s="7">
        <v>270.26</v>
      </c>
      <c r="H37" s="7">
        <v>304.22000000000003</v>
      </c>
      <c r="I37" s="7">
        <v>217.92</v>
      </c>
      <c r="J37" s="7">
        <v>300.66000000000003</v>
      </c>
      <c r="K37" s="7">
        <v>330.84</v>
      </c>
      <c r="L37" s="7">
        <v>319.54000000000002</v>
      </c>
      <c r="M37" s="7">
        <v>350.92</v>
      </c>
      <c r="N37" s="7">
        <v>265.48</v>
      </c>
      <c r="O37" s="7">
        <v>285.68</v>
      </c>
      <c r="P37" s="7">
        <v>382.68</v>
      </c>
      <c r="Q37" s="7">
        <v>369.26</v>
      </c>
      <c r="R37" s="7">
        <v>368.14</v>
      </c>
      <c r="S37" s="7">
        <v>343.18</v>
      </c>
      <c r="T37" s="7">
        <v>353.18</v>
      </c>
      <c r="U37" s="7">
        <v>410.44</v>
      </c>
      <c r="V37" s="7">
        <v>340.22</v>
      </c>
      <c r="W37" s="7">
        <v>448.82</v>
      </c>
      <c r="X37" s="7">
        <v>430.34</v>
      </c>
      <c r="Y37" s="7">
        <v>392.78</v>
      </c>
      <c r="Z37" s="7">
        <v>350.94</v>
      </c>
      <c r="AA37" s="7">
        <v>410.36</v>
      </c>
      <c r="AB37" s="7">
        <v>394.68</v>
      </c>
      <c r="AC37" s="7">
        <v>408.1</v>
      </c>
      <c r="AD37" s="7">
        <v>371.58</v>
      </c>
      <c r="AE37" s="7">
        <v>385.3</v>
      </c>
      <c r="AF37" s="7">
        <v>463.48</v>
      </c>
      <c r="AG37" s="7">
        <v>414.98</v>
      </c>
      <c r="AH37" s="7">
        <v>420.8</v>
      </c>
      <c r="AI37" s="7"/>
    </row>
    <row r="38" spans="1:35" s="3" customFormat="1" ht="26.1" customHeight="1">
      <c r="A38" s="53"/>
      <c r="B38" s="12" t="s">
        <v>67</v>
      </c>
      <c r="C38" s="7">
        <f>D38+'3月'!C37</f>
        <v>3769.14</v>
      </c>
      <c r="D38" s="7">
        <f t="shared" ref="D38:D39" si="10">SUM(E38:AI38)</f>
        <v>1044.7199999999998</v>
      </c>
      <c r="E38" s="7">
        <v>41.3</v>
      </c>
      <c r="F38" s="7">
        <v>22.22</v>
      </c>
      <c r="G38" s="7">
        <v>81.16</v>
      </c>
      <c r="H38" s="7">
        <v>20.100000000000001</v>
      </c>
      <c r="I38" s="7">
        <v>43.92</v>
      </c>
      <c r="J38" s="7">
        <v>42.24</v>
      </c>
      <c r="K38" s="7">
        <v>57.38</v>
      </c>
      <c r="L38" s="7">
        <v>30.78</v>
      </c>
      <c r="M38" s="7">
        <v>45.74</v>
      </c>
      <c r="N38" s="7">
        <v>34.520000000000003</v>
      </c>
      <c r="O38" s="7">
        <v>20.94</v>
      </c>
      <c r="P38" s="7">
        <v>10.96</v>
      </c>
      <c r="Q38" s="7">
        <v>43.38</v>
      </c>
      <c r="R38" s="7">
        <v>62.38</v>
      </c>
      <c r="S38" s="7">
        <v>19.78</v>
      </c>
      <c r="T38" s="7">
        <v>23.36</v>
      </c>
      <c r="U38" s="7">
        <v>43.58</v>
      </c>
      <c r="V38" s="7">
        <v>92.28</v>
      </c>
      <c r="W38" s="7">
        <v>0</v>
      </c>
      <c r="X38" s="7">
        <v>0</v>
      </c>
      <c r="Y38" s="7">
        <v>30.68</v>
      </c>
      <c r="Z38" s="7">
        <v>12.16</v>
      </c>
      <c r="AA38" s="7">
        <v>74.62</v>
      </c>
      <c r="AB38" s="7">
        <v>34.78</v>
      </c>
      <c r="AC38" s="7">
        <v>36.76</v>
      </c>
      <c r="AD38" s="7">
        <v>13.18</v>
      </c>
      <c r="AE38" s="7">
        <v>20.46</v>
      </c>
      <c r="AF38" s="7">
        <v>13.96</v>
      </c>
      <c r="AG38" s="7">
        <v>50.56</v>
      </c>
      <c r="AH38" s="7">
        <v>21.54</v>
      </c>
      <c r="AI38" s="7"/>
    </row>
    <row r="39" spans="1:35" s="3" customFormat="1" ht="24.95" customHeight="1">
      <c r="A39" s="54"/>
      <c r="B39" s="6" t="s">
        <v>69</v>
      </c>
      <c r="C39" s="7">
        <f>D39+'3月'!C38</f>
        <v>12338</v>
      </c>
      <c r="D39" s="7">
        <f t="shared" si="10"/>
        <v>4266</v>
      </c>
      <c r="E39" s="7">
        <v>91</v>
      </c>
      <c r="F39" s="7">
        <v>352</v>
      </c>
      <c r="G39" s="7">
        <v>0</v>
      </c>
      <c r="H39" s="7">
        <v>147</v>
      </c>
      <c r="I39" s="7">
        <v>59</v>
      </c>
      <c r="J39" s="7">
        <v>250</v>
      </c>
      <c r="K39" s="7">
        <v>243</v>
      </c>
      <c r="L39" s="7">
        <v>0</v>
      </c>
      <c r="M39" s="7">
        <v>203</v>
      </c>
      <c r="N39" s="7">
        <v>289</v>
      </c>
      <c r="O39" s="7">
        <v>0</v>
      </c>
      <c r="P39" s="7">
        <v>205</v>
      </c>
      <c r="Q39" s="7">
        <v>38</v>
      </c>
      <c r="R39" s="7">
        <v>168</v>
      </c>
      <c r="S39" s="7">
        <v>112</v>
      </c>
      <c r="T39" s="7">
        <v>33</v>
      </c>
      <c r="U39" s="7">
        <v>194</v>
      </c>
      <c r="V39" s="7">
        <v>29</v>
      </c>
      <c r="W39" s="7">
        <v>192</v>
      </c>
      <c r="X39" s="7">
        <v>203</v>
      </c>
      <c r="Y39" s="7">
        <v>167</v>
      </c>
      <c r="Z39" s="7">
        <v>0</v>
      </c>
      <c r="AA39" s="7">
        <v>214</v>
      </c>
      <c r="AB39" s="7">
        <v>158</v>
      </c>
      <c r="AC39" s="7">
        <v>0</v>
      </c>
      <c r="AD39" s="7">
        <v>163</v>
      </c>
      <c r="AE39" s="7">
        <v>0</v>
      </c>
      <c r="AF39" s="7">
        <v>259</v>
      </c>
      <c r="AG39" s="7">
        <v>160</v>
      </c>
      <c r="AH39" s="7">
        <v>337</v>
      </c>
      <c r="AI39" s="7"/>
    </row>
    <row r="40" spans="1:35" s="3" customFormat="1" ht="24.95" customHeight="1">
      <c r="A40" s="60" t="s">
        <v>70</v>
      </c>
      <c r="B40" s="6" t="s">
        <v>71</v>
      </c>
      <c r="C40" s="7">
        <f>D40+'3月'!C39</f>
        <v>272.67799999999994</v>
      </c>
      <c r="D40" s="7">
        <f t="shared" ref="D40:D42" si="11">SUM(E40:AI40)</f>
        <v>70.027999999999977</v>
      </c>
      <c r="E40" s="30">
        <v>2.11</v>
      </c>
      <c r="F40" s="30">
        <v>2.2080000000000002</v>
      </c>
      <c r="G40" s="30">
        <v>2.1160000000000001</v>
      </c>
      <c r="H40" s="30">
        <v>2.48</v>
      </c>
      <c r="I40" s="30">
        <v>2.48</v>
      </c>
      <c r="J40" s="30">
        <v>2.2999999999999998</v>
      </c>
      <c r="K40" s="30">
        <v>2.3919999999999999</v>
      </c>
      <c r="L40" s="30">
        <v>2.2000000000000002</v>
      </c>
      <c r="M40" s="30">
        <v>2.3919999999999999</v>
      </c>
      <c r="N40" s="30">
        <v>2.484</v>
      </c>
      <c r="O40" s="31">
        <v>2.2999999999999998</v>
      </c>
      <c r="P40" s="31">
        <v>2.2999999999999998</v>
      </c>
      <c r="Q40" s="31">
        <v>2.2999999999999998</v>
      </c>
      <c r="R40" s="31">
        <v>2.2999999999999998</v>
      </c>
      <c r="S40" s="31">
        <v>2.2999999999999998</v>
      </c>
      <c r="T40" s="31">
        <v>2.48</v>
      </c>
      <c r="U40" s="31">
        <v>2.48</v>
      </c>
      <c r="V40" s="31">
        <v>2.2999999999999998</v>
      </c>
      <c r="W40" s="31">
        <v>2.4</v>
      </c>
      <c r="X40" s="31">
        <v>2.3919999999999999</v>
      </c>
      <c r="Y40" s="30">
        <v>2.484</v>
      </c>
      <c r="Z40" s="30">
        <v>2.11</v>
      </c>
      <c r="AA40" s="30">
        <v>2.2999999999999998</v>
      </c>
      <c r="AB40" s="30">
        <v>2.4</v>
      </c>
      <c r="AC40" s="30">
        <v>2.2999999999999998</v>
      </c>
      <c r="AD40" s="30">
        <v>2.2040000000000002</v>
      </c>
      <c r="AE40" s="30">
        <v>2.1160000000000001</v>
      </c>
      <c r="AF40" s="30">
        <v>2.5</v>
      </c>
      <c r="AG40" s="30">
        <v>2.6</v>
      </c>
      <c r="AH40" s="30">
        <v>2.2999999999999998</v>
      </c>
      <c r="AI40" s="7"/>
    </row>
    <row r="41" spans="1:35" s="3" customFormat="1" ht="24.95" customHeight="1">
      <c r="A41" s="60"/>
      <c r="B41" s="6" t="s">
        <v>72</v>
      </c>
      <c r="C41" s="7">
        <f>D41+'3月'!C40</f>
        <v>1292.1999999999998</v>
      </c>
      <c r="D41" s="7">
        <f t="shared" si="11"/>
        <v>325.60000000000002</v>
      </c>
      <c r="E41" s="31">
        <v>11.8</v>
      </c>
      <c r="F41" s="31">
        <v>11.3</v>
      </c>
      <c r="G41" s="31">
        <v>10.9</v>
      </c>
      <c r="H41" s="31">
        <v>10.8</v>
      </c>
      <c r="I41" s="31">
        <v>11.3</v>
      </c>
      <c r="J41" s="31">
        <v>12.4</v>
      </c>
      <c r="K41" s="31">
        <v>11.4</v>
      </c>
      <c r="L41" s="31">
        <v>12.8</v>
      </c>
      <c r="M41" s="31">
        <v>11.8</v>
      </c>
      <c r="N41" s="31">
        <v>10.8</v>
      </c>
      <c r="O41" s="30">
        <v>11</v>
      </c>
      <c r="P41" s="30">
        <v>11.3</v>
      </c>
      <c r="Q41" s="30">
        <v>9.8000000000000007</v>
      </c>
      <c r="R41" s="30">
        <v>9.9</v>
      </c>
      <c r="S41" s="30">
        <v>9.6999999999999993</v>
      </c>
      <c r="T41" s="30">
        <v>10.5</v>
      </c>
      <c r="U41" s="30">
        <v>11</v>
      </c>
      <c r="V41" s="30">
        <v>10.8</v>
      </c>
      <c r="W41" s="30">
        <v>9.8000000000000007</v>
      </c>
      <c r="X41" s="30">
        <v>11.3</v>
      </c>
      <c r="Y41" s="30">
        <v>11</v>
      </c>
      <c r="Z41" s="30">
        <v>9.1</v>
      </c>
      <c r="AA41" s="30">
        <v>10.8</v>
      </c>
      <c r="AB41" s="30">
        <v>9.8000000000000007</v>
      </c>
      <c r="AC41" s="30">
        <v>10.4</v>
      </c>
      <c r="AD41" s="30">
        <v>9.9</v>
      </c>
      <c r="AE41" s="30">
        <v>11.3</v>
      </c>
      <c r="AF41" s="30">
        <v>11.3</v>
      </c>
      <c r="AG41" s="30">
        <v>10.8</v>
      </c>
      <c r="AH41" s="30">
        <v>10.8</v>
      </c>
      <c r="AI41" s="7"/>
    </row>
    <row r="42" spans="1:35" s="3" customFormat="1" ht="24.95" customHeight="1">
      <c r="A42" s="60"/>
      <c r="B42" s="6" t="s">
        <v>73</v>
      </c>
      <c r="C42" s="7">
        <f>D42+'3月'!C41</f>
        <v>83.199999999999989</v>
      </c>
      <c r="D42" s="7">
        <f t="shared" si="11"/>
        <v>22.700000000000003</v>
      </c>
      <c r="E42" s="37">
        <v>0.8</v>
      </c>
      <c r="F42" s="37">
        <v>0.7</v>
      </c>
      <c r="G42" s="37">
        <v>0.7</v>
      </c>
      <c r="H42" s="37">
        <v>0.8</v>
      </c>
      <c r="I42" s="37">
        <v>0.7</v>
      </c>
      <c r="J42" s="37">
        <v>0.7</v>
      </c>
      <c r="K42" s="37">
        <v>0.8</v>
      </c>
      <c r="L42" s="37">
        <v>0.8</v>
      </c>
      <c r="M42" s="37">
        <v>0.7</v>
      </c>
      <c r="N42" s="37">
        <v>0.7</v>
      </c>
      <c r="O42" s="38">
        <v>0.7</v>
      </c>
      <c r="P42" s="38">
        <v>0.7</v>
      </c>
      <c r="Q42" s="38">
        <v>0.7</v>
      </c>
      <c r="R42" s="38">
        <v>0.7</v>
      </c>
      <c r="S42" s="38">
        <v>0.7</v>
      </c>
      <c r="T42" s="38">
        <v>0.7</v>
      </c>
      <c r="U42" s="38">
        <v>0.9</v>
      </c>
      <c r="V42" s="38">
        <v>0.8</v>
      </c>
      <c r="W42" s="38">
        <v>0.8</v>
      </c>
      <c r="X42" s="38">
        <v>0.8</v>
      </c>
      <c r="Y42" s="38">
        <v>0.8</v>
      </c>
      <c r="Z42" s="38">
        <v>0.8</v>
      </c>
      <c r="AA42" s="38">
        <v>0.8</v>
      </c>
      <c r="AB42" s="38">
        <v>0.7</v>
      </c>
      <c r="AC42" s="38">
        <v>0.8</v>
      </c>
      <c r="AD42" s="38">
        <v>0.8</v>
      </c>
      <c r="AE42" s="38">
        <v>0.8</v>
      </c>
      <c r="AF42" s="38">
        <v>0.8</v>
      </c>
      <c r="AG42" s="38">
        <v>0.8</v>
      </c>
      <c r="AH42" s="38">
        <v>0.7</v>
      </c>
      <c r="AI42" s="7"/>
    </row>
    <row r="43" spans="1:35" s="1" customFormat="1" ht="18" customHeight="1">
      <c r="B43" s="20" t="s">
        <v>74</v>
      </c>
      <c r="C43" s="21">
        <f>C37/C5</f>
        <v>0.24281691844524486</v>
      </c>
      <c r="D43" s="21">
        <f>D37/D5</f>
        <v>0.259963245326578</v>
      </c>
      <c r="G43" s="22"/>
    </row>
    <row r="44" spans="1:35" s="1" customFormat="1" ht="18" customHeight="1">
      <c r="B44" s="23" t="s">
        <v>75</v>
      </c>
      <c r="C44" s="24">
        <f>C38/C5</f>
        <v>2.5328880167732916E-2</v>
      </c>
      <c r="D44" s="24">
        <f>D38/D5</f>
        <v>2.5228871496291924E-2</v>
      </c>
      <c r="G44" s="22"/>
    </row>
    <row r="45" spans="1:35" s="1" customFormat="1" ht="18" customHeight="1">
      <c r="B45" s="23" t="s">
        <v>76</v>
      </c>
      <c r="C45" s="24">
        <f>C39/C5</f>
        <v>8.291220902102038E-2</v>
      </c>
      <c r="D45" s="24">
        <f>D39/D5</f>
        <v>0.10301934087906939</v>
      </c>
      <c r="G45" s="22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</sheetData>
  <mergeCells count="10">
    <mergeCell ref="A16:A18"/>
    <mergeCell ref="A40:A42"/>
    <mergeCell ref="A1:B1"/>
    <mergeCell ref="C1:AI1"/>
    <mergeCell ref="A3:A5"/>
    <mergeCell ref="A6:A8"/>
    <mergeCell ref="A9:A12"/>
    <mergeCell ref="A13:A15"/>
    <mergeCell ref="A20:A36"/>
    <mergeCell ref="A37:A39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68"/>
  <sheetViews>
    <sheetView topLeftCell="A27" workbookViewId="0">
      <pane xSplit="4" topLeftCell="M1" activePane="topRight" state="frozen"/>
      <selection pane="topRight" activeCell="A37" sqref="A37:A39"/>
    </sheetView>
  </sheetViews>
  <sheetFormatPr defaultColWidth="9" defaultRowHeight="13.5"/>
  <cols>
    <col min="1" max="1" width="8.75" style="4" customWidth="1"/>
    <col min="2" max="2" width="13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7">
        <v>44317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D3+'4月'!C3</f>
        <v>92649.300000000017</v>
      </c>
      <c r="D3" s="7">
        <f t="shared" ref="D3:D9" si="0">SUM(E3:AI3)</f>
        <v>20820.700000000004</v>
      </c>
      <c r="E3" s="7">
        <v>710.1</v>
      </c>
      <c r="F3" s="7">
        <v>709.2</v>
      </c>
      <c r="G3" s="7">
        <v>708.7</v>
      </c>
      <c r="H3" s="7">
        <v>628.6</v>
      </c>
      <c r="I3" s="7">
        <v>640.5</v>
      </c>
      <c r="J3" s="7">
        <v>670.4</v>
      </c>
      <c r="K3" s="7">
        <v>722.9</v>
      </c>
      <c r="L3" s="7">
        <v>656.6</v>
      </c>
      <c r="M3" s="7">
        <v>799.1</v>
      </c>
      <c r="N3" s="7">
        <v>751.5</v>
      </c>
      <c r="O3" s="7">
        <v>680.6</v>
      </c>
      <c r="P3" s="7">
        <v>706.7</v>
      </c>
      <c r="Q3" s="7">
        <v>723.3</v>
      </c>
      <c r="R3" s="7">
        <v>702.8</v>
      </c>
      <c r="S3" s="7">
        <v>698.2</v>
      </c>
      <c r="T3" s="7">
        <v>681.5</v>
      </c>
      <c r="U3" s="7">
        <v>637.1</v>
      </c>
      <c r="V3" s="7">
        <v>637.6</v>
      </c>
      <c r="W3" s="7">
        <v>651.5</v>
      </c>
      <c r="X3" s="7">
        <v>619.20000000000005</v>
      </c>
      <c r="Y3" s="7">
        <v>595.70000000000005</v>
      </c>
      <c r="Z3" s="7">
        <v>645.4</v>
      </c>
      <c r="AA3" s="7">
        <v>616.5</v>
      </c>
      <c r="AB3" s="7">
        <v>611</v>
      </c>
      <c r="AC3" s="7">
        <v>657</v>
      </c>
      <c r="AD3" s="7">
        <v>663.1</v>
      </c>
      <c r="AE3" s="7">
        <v>668.1</v>
      </c>
      <c r="AF3" s="7">
        <v>636.20000000000005</v>
      </c>
      <c r="AG3" s="7">
        <v>681.2</v>
      </c>
      <c r="AH3" s="7">
        <v>645.9</v>
      </c>
      <c r="AI3" s="29">
        <v>664.5</v>
      </c>
    </row>
    <row r="4" spans="1:35" s="3" customFormat="1" ht="26.25" customHeight="1">
      <c r="A4" s="51"/>
      <c r="B4" s="7" t="s">
        <v>37</v>
      </c>
      <c r="C4" s="7">
        <f>D4+'4月'!C4</f>
        <v>99697.9</v>
      </c>
      <c r="D4" s="7">
        <f t="shared" si="0"/>
        <v>22718.499999999996</v>
      </c>
      <c r="E4" s="7">
        <v>767.1</v>
      </c>
      <c r="F4" s="7">
        <v>791.9</v>
      </c>
      <c r="G4" s="7">
        <v>764</v>
      </c>
      <c r="H4" s="7">
        <v>680.8</v>
      </c>
      <c r="I4" s="7">
        <v>674.3</v>
      </c>
      <c r="J4" s="7">
        <v>768.9</v>
      </c>
      <c r="K4" s="7">
        <v>769.5</v>
      </c>
      <c r="L4" s="7">
        <v>729.4</v>
      </c>
      <c r="M4" s="7">
        <v>856.5</v>
      </c>
      <c r="N4" s="7">
        <v>775.2</v>
      </c>
      <c r="O4" s="7">
        <v>769</v>
      </c>
      <c r="P4" s="7">
        <v>763</v>
      </c>
      <c r="Q4" s="7">
        <v>767.6</v>
      </c>
      <c r="R4" s="7">
        <v>780.8</v>
      </c>
      <c r="S4" s="7">
        <v>830</v>
      </c>
      <c r="T4" s="7">
        <v>761.8</v>
      </c>
      <c r="U4" s="7">
        <v>712.7</v>
      </c>
      <c r="V4" s="7">
        <v>714.4</v>
      </c>
      <c r="W4" s="7">
        <v>711.7</v>
      </c>
      <c r="X4" s="7">
        <v>652.4</v>
      </c>
      <c r="Y4" s="7">
        <v>687.8</v>
      </c>
      <c r="Z4" s="7">
        <v>706.7</v>
      </c>
      <c r="AA4" s="7">
        <v>705.9</v>
      </c>
      <c r="AB4" s="7">
        <v>678.8</v>
      </c>
      <c r="AC4" s="7">
        <v>721.6</v>
      </c>
      <c r="AD4" s="7">
        <v>676.9</v>
      </c>
      <c r="AE4" s="7">
        <v>680.2</v>
      </c>
      <c r="AF4" s="7">
        <v>695.8</v>
      </c>
      <c r="AG4" s="29">
        <v>722.4</v>
      </c>
      <c r="AH4" s="7">
        <v>665.1</v>
      </c>
      <c r="AI4" s="7">
        <v>736.3</v>
      </c>
    </row>
    <row r="5" spans="1:35" s="3" customFormat="1" ht="24.95" customHeight="1">
      <c r="A5" s="51"/>
      <c r="B5" s="7" t="s">
        <v>38</v>
      </c>
      <c r="C5" s="7">
        <f>D5+'4月'!C5</f>
        <v>192347.2</v>
      </c>
      <c r="D5" s="7">
        <f t="shared" si="0"/>
        <v>43539.200000000004</v>
      </c>
      <c r="E5" s="7">
        <f>SUM(E3:E4)</f>
        <v>1477.2</v>
      </c>
      <c r="F5" s="7">
        <f t="shared" ref="F5:AI5" si="1">SUM(F3:F4)</f>
        <v>1501.1</v>
      </c>
      <c r="G5" s="7">
        <f t="shared" si="1"/>
        <v>1472.7</v>
      </c>
      <c r="H5" s="7">
        <f t="shared" si="1"/>
        <v>1309.4000000000001</v>
      </c>
      <c r="I5" s="7">
        <f t="shared" si="1"/>
        <v>1314.8</v>
      </c>
      <c r="J5" s="7">
        <f t="shared" si="1"/>
        <v>1439.3</v>
      </c>
      <c r="K5" s="7">
        <f t="shared" si="1"/>
        <v>1492.4</v>
      </c>
      <c r="L5" s="7">
        <f t="shared" si="1"/>
        <v>1386</v>
      </c>
      <c r="M5" s="7">
        <f t="shared" si="1"/>
        <v>1655.6</v>
      </c>
      <c r="N5" s="7">
        <f t="shared" si="1"/>
        <v>1526.7</v>
      </c>
      <c r="O5" s="7">
        <f t="shared" si="1"/>
        <v>1449.6</v>
      </c>
      <c r="P5" s="7">
        <f t="shared" si="1"/>
        <v>1469.7</v>
      </c>
      <c r="Q5" s="7">
        <f t="shared" si="1"/>
        <v>1490.9</v>
      </c>
      <c r="R5" s="7">
        <f t="shared" si="1"/>
        <v>1483.6</v>
      </c>
      <c r="S5" s="7">
        <f t="shared" si="1"/>
        <v>1528.2</v>
      </c>
      <c r="T5" s="7">
        <f t="shared" si="1"/>
        <v>1443.3</v>
      </c>
      <c r="U5" s="7">
        <f t="shared" si="1"/>
        <v>1349.8000000000002</v>
      </c>
      <c r="V5" s="7">
        <f t="shared" si="1"/>
        <v>1352</v>
      </c>
      <c r="W5" s="7">
        <f t="shared" si="1"/>
        <v>1363.2</v>
      </c>
      <c r="X5" s="7">
        <f t="shared" si="1"/>
        <v>1271.5999999999999</v>
      </c>
      <c r="Y5" s="7">
        <f t="shared" si="1"/>
        <v>1283.5</v>
      </c>
      <c r="Z5" s="7">
        <f t="shared" si="1"/>
        <v>1352.1</v>
      </c>
      <c r="AA5" s="7">
        <f t="shared" si="1"/>
        <v>1322.4</v>
      </c>
      <c r="AB5" s="7">
        <f t="shared" si="1"/>
        <v>1289.8</v>
      </c>
      <c r="AC5" s="7">
        <f t="shared" si="1"/>
        <v>1378.6</v>
      </c>
      <c r="AD5" s="7">
        <f t="shared" si="1"/>
        <v>1340</v>
      </c>
      <c r="AE5" s="7">
        <f t="shared" si="1"/>
        <v>1348.3000000000002</v>
      </c>
      <c r="AF5" s="7">
        <f t="shared" si="1"/>
        <v>1332</v>
      </c>
      <c r="AG5" s="7">
        <f t="shared" si="1"/>
        <v>1403.6</v>
      </c>
      <c r="AH5" s="7">
        <f t="shared" si="1"/>
        <v>1311</v>
      </c>
      <c r="AI5" s="7">
        <f t="shared" si="1"/>
        <v>1400.8</v>
      </c>
    </row>
    <row r="6" spans="1:35" s="3" customFormat="1" ht="24.95" customHeight="1">
      <c r="A6" s="51" t="s">
        <v>39</v>
      </c>
      <c r="B6" s="7" t="s">
        <v>40</v>
      </c>
      <c r="C6" s="7">
        <f>D6+'4月'!C6</f>
        <v>44944000</v>
      </c>
      <c r="D6" s="7">
        <f t="shared" si="0"/>
        <v>10464000</v>
      </c>
      <c r="E6" s="7">
        <v>334000</v>
      </c>
      <c r="F6" s="7">
        <v>342000</v>
      </c>
      <c r="G6" s="7">
        <v>344000</v>
      </c>
      <c r="H6" s="7">
        <v>338000</v>
      </c>
      <c r="I6" s="7">
        <v>336000</v>
      </c>
      <c r="J6" s="7">
        <v>334000</v>
      </c>
      <c r="K6" s="7">
        <v>340000</v>
      </c>
      <c r="L6" s="7">
        <v>332000</v>
      </c>
      <c r="M6" s="7">
        <v>328000</v>
      </c>
      <c r="N6" s="7">
        <v>338000</v>
      </c>
      <c r="O6" s="7">
        <v>330000</v>
      </c>
      <c r="P6" s="26">
        <v>334000</v>
      </c>
      <c r="Q6" s="7">
        <v>340000</v>
      </c>
      <c r="R6" s="7">
        <v>342000</v>
      </c>
      <c r="S6" s="7">
        <v>344000</v>
      </c>
      <c r="T6" s="7">
        <v>338000</v>
      </c>
      <c r="U6" s="26">
        <v>332000</v>
      </c>
      <c r="V6" s="26">
        <v>334000</v>
      </c>
      <c r="W6" s="7">
        <v>332000</v>
      </c>
      <c r="X6" s="7">
        <v>338000</v>
      </c>
      <c r="Y6" s="7">
        <v>334000</v>
      </c>
      <c r="Z6" s="7">
        <v>330000</v>
      </c>
      <c r="AA6" s="7">
        <v>334000</v>
      </c>
      <c r="AB6" s="7">
        <v>340000</v>
      </c>
      <c r="AC6" s="7">
        <v>342000</v>
      </c>
      <c r="AD6" s="7">
        <v>340000</v>
      </c>
      <c r="AE6" s="7">
        <v>336000</v>
      </c>
      <c r="AF6" s="7">
        <v>348000</v>
      </c>
      <c r="AG6" s="7">
        <v>350000</v>
      </c>
      <c r="AH6" s="7">
        <v>344000</v>
      </c>
      <c r="AI6" s="7">
        <v>336000</v>
      </c>
    </row>
    <row r="7" spans="1:35" s="3" customFormat="1" ht="24.95" customHeight="1">
      <c r="A7" s="51"/>
      <c r="B7" s="7" t="s">
        <v>41</v>
      </c>
      <c r="C7" s="7">
        <f>D7+'4月'!C7</f>
        <v>52198000</v>
      </c>
      <c r="D7" s="7">
        <f t="shared" si="0"/>
        <v>10266000</v>
      </c>
      <c r="E7" s="7">
        <v>330000</v>
      </c>
      <c r="F7" s="7">
        <v>336000</v>
      </c>
      <c r="G7" s="7">
        <v>338000</v>
      </c>
      <c r="H7" s="7">
        <v>326000</v>
      </c>
      <c r="I7" s="7">
        <v>328000</v>
      </c>
      <c r="J7" s="7">
        <v>336000</v>
      </c>
      <c r="K7" s="7">
        <v>336000</v>
      </c>
      <c r="L7" s="7">
        <v>336000</v>
      </c>
      <c r="M7" s="7">
        <v>330000</v>
      </c>
      <c r="N7" s="7">
        <v>332000</v>
      </c>
      <c r="O7" s="7">
        <v>330000</v>
      </c>
      <c r="P7" s="26">
        <v>322000</v>
      </c>
      <c r="Q7" s="7">
        <v>322000</v>
      </c>
      <c r="R7" s="7">
        <v>326000</v>
      </c>
      <c r="S7" s="7">
        <v>338000</v>
      </c>
      <c r="T7" s="7">
        <v>334000</v>
      </c>
      <c r="U7" s="7">
        <v>314000</v>
      </c>
      <c r="V7" s="7">
        <v>336000</v>
      </c>
      <c r="W7" s="7">
        <v>334000</v>
      </c>
      <c r="X7" s="7">
        <v>326000</v>
      </c>
      <c r="Y7" s="7">
        <v>332000</v>
      </c>
      <c r="Z7" s="7">
        <v>334000</v>
      </c>
      <c r="AA7" s="7">
        <v>334000</v>
      </c>
      <c r="AB7" s="7">
        <v>330000</v>
      </c>
      <c r="AC7" s="7">
        <v>326000</v>
      </c>
      <c r="AD7" s="7">
        <v>334000</v>
      </c>
      <c r="AE7" s="7">
        <v>342000</v>
      </c>
      <c r="AF7" s="7">
        <v>336000</v>
      </c>
      <c r="AG7" s="7">
        <v>332000</v>
      </c>
      <c r="AH7" s="7">
        <v>330000</v>
      </c>
      <c r="AI7" s="26">
        <v>326000</v>
      </c>
    </row>
    <row r="8" spans="1:35" s="3" customFormat="1" ht="24.95" customHeight="1">
      <c r="A8" s="51"/>
      <c r="B8" s="7" t="s">
        <v>38</v>
      </c>
      <c r="C8" s="7">
        <f>D8+'4月'!C8</f>
        <v>97142000</v>
      </c>
      <c r="D8" s="7">
        <f t="shared" si="0"/>
        <v>20730000</v>
      </c>
      <c r="E8" s="7">
        <f t="shared" ref="E8:AI8" si="2">SUM(E6:E7)</f>
        <v>664000</v>
      </c>
      <c r="F8" s="7">
        <f t="shared" si="2"/>
        <v>678000</v>
      </c>
      <c r="G8" s="7">
        <f t="shared" si="2"/>
        <v>682000</v>
      </c>
      <c r="H8" s="7">
        <f t="shared" si="2"/>
        <v>664000</v>
      </c>
      <c r="I8" s="7">
        <f t="shared" si="2"/>
        <v>664000</v>
      </c>
      <c r="J8" s="7">
        <f t="shared" si="2"/>
        <v>670000</v>
      </c>
      <c r="K8" s="7">
        <f t="shared" si="2"/>
        <v>676000</v>
      </c>
      <c r="L8" s="7">
        <f t="shared" si="2"/>
        <v>668000</v>
      </c>
      <c r="M8" s="7">
        <f t="shared" si="2"/>
        <v>658000</v>
      </c>
      <c r="N8" s="7">
        <f t="shared" si="2"/>
        <v>670000</v>
      </c>
      <c r="O8" s="7">
        <f t="shared" si="2"/>
        <v>660000</v>
      </c>
      <c r="P8" s="7">
        <f t="shared" si="2"/>
        <v>656000</v>
      </c>
      <c r="Q8" s="7">
        <f t="shared" si="2"/>
        <v>662000</v>
      </c>
      <c r="R8" s="7">
        <f t="shared" si="2"/>
        <v>668000</v>
      </c>
      <c r="S8" s="7">
        <f t="shared" si="2"/>
        <v>682000</v>
      </c>
      <c r="T8" s="7">
        <f t="shared" si="2"/>
        <v>672000</v>
      </c>
      <c r="U8" s="7">
        <f t="shared" si="2"/>
        <v>646000</v>
      </c>
      <c r="V8" s="7">
        <f t="shared" si="2"/>
        <v>670000</v>
      </c>
      <c r="W8" s="7">
        <f t="shared" si="2"/>
        <v>666000</v>
      </c>
      <c r="X8" s="7">
        <f t="shared" si="2"/>
        <v>664000</v>
      </c>
      <c r="Y8" s="7">
        <f t="shared" si="2"/>
        <v>666000</v>
      </c>
      <c r="Z8" s="7">
        <f t="shared" si="2"/>
        <v>664000</v>
      </c>
      <c r="AA8" s="7">
        <f t="shared" si="2"/>
        <v>668000</v>
      </c>
      <c r="AB8" s="7">
        <f t="shared" si="2"/>
        <v>670000</v>
      </c>
      <c r="AC8" s="7">
        <f t="shared" si="2"/>
        <v>668000</v>
      </c>
      <c r="AD8" s="7">
        <f t="shared" si="2"/>
        <v>674000</v>
      </c>
      <c r="AE8" s="7">
        <f t="shared" si="2"/>
        <v>678000</v>
      </c>
      <c r="AF8" s="7">
        <f t="shared" si="2"/>
        <v>684000</v>
      </c>
      <c r="AG8" s="7">
        <f t="shared" si="2"/>
        <v>682000</v>
      </c>
      <c r="AH8" s="7">
        <f t="shared" si="2"/>
        <v>674000</v>
      </c>
      <c r="AI8" s="7">
        <f t="shared" si="2"/>
        <v>662000</v>
      </c>
    </row>
    <row r="9" spans="1:35" s="3" customFormat="1" ht="24.95" customHeight="1">
      <c r="A9" s="51" t="s">
        <v>42</v>
      </c>
      <c r="B9" s="7" t="s">
        <v>38</v>
      </c>
      <c r="C9" s="7">
        <f>D9+'4月'!C9</f>
        <v>84096000</v>
      </c>
      <c r="D9" s="7">
        <f t="shared" si="0"/>
        <v>17756000</v>
      </c>
      <c r="E9" s="7">
        <v>568000</v>
      </c>
      <c r="F9" s="7">
        <v>584000</v>
      </c>
      <c r="G9" s="7">
        <v>584000</v>
      </c>
      <c r="H9" s="7">
        <v>568000</v>
      </c>
      <c r="I9" s="7">
        <v>570000</v>
      </c>
      <c r="J9" s="7">
        <v>574000</v>
      </c>
      <c r="K9" s="7">
        <v>578000</v>
      </c>
      <c r="L9" s="7">
        <v>570000</v>
      </c>
      <c r="M9" s="7">
        <v>564000</v>
      </c>
      <c r="N9" s="7">
        <v>572000</v>
      </c>
      <c r="O9" s="7">
        <v>562000</v>
      </c>
      <c r="P9" s="7">
        <v>562000</v>
      </c>
      <c r="Q9" s="7">
        <v>564000</v>
      </c>
      <c r="R9" s="7">
        <v>570000</v>
      </c>
      <c r="S9" s="7">
        <v>588000</v>
      </c>
      <c r="T9" s="7">
        <v>574000</v>
      </c>
      <c r="U9" s="7">
        <v>558000</v>
      </c>
      <c r="V9" s="7">
        <v>574000</v>
      </c>
      <c r="W9" s="7">
        <v>570000</v>
      </c>
      <c r="X9" s="7">
        <v>576000</v>
      </c>
      <c r="Y9" s="7">
        <v>568000</v>
      </c>
      <c r="Z9" s="7">
        <v>572000</v>
      </c>
      <c r="AA9" s="7">
        <v>572000</v>
      </c>
      <c r="AB9" s="7">
        <v>576000</v>
      </c>
      <c r="AC9" s="7">
        <v>572000</v>
      </c>
      <c r="AD9" s="7">
        <v>574000</v>
      </c>
      <c r="AE9" s="7">
        <v>582000</v>
      </c>
      <c r="AF9" s="7">
        <v>588000</v>
      </c>
      <c r="AG9" s="7">
        <v>584000</v>
      </c>
      <c r="AH9" s="7">
        <v>578000</v>
      </c>
      <c r="AI9" s="7">
        <v>560000</v>
      </c>
    </row>
    <row r="10" spans="1:35" s="3" customFormat="1" ht="24.95" customHeight="1">
      <c r="A10" s="51"/>
      <c r="B10" s="6" t="s">
        <v>43</v>
      </c>
      <c r="C10" s="8">
        <f>C8/C5</f>
        <v>505.03464568239099</v>
      </c>
      <c r="D10" s="8">
        <f>D8/D5</f>
        <v>476.12266647067463</v>
      </c>
      <c r="E10" s="8">
        <f t="shared" ref="E10:AI10" si="3">SUM(E8/E5)</f>
        <v>449.49905226103436</v>
      </c>
      <c r="F10" s="8">
        <f t="shared" si="3"/>
        <v>451.66877623076414</v>
      </c>
      <c r="G10" s="8">
        <f t="shared" si="3"/>
        <v>463.09499558633803</v>
      </c>
      <c r="H10" s="8">
        <f t="shared" si="3"/>
        <v>507.10248968993426</v>
      </c>
      <c r="I10" s="8">
        <f t="shared" si="3"/>
        <v>505.0197748707028</v>
      </c>
      <c r="J10" s="8">
        <f t="shared" si="3"/>
        <v>465.50406447578683</v>
      </c>
      <c r="K10" s="8">
        <f t="shared" si="3"/>
        <v>452.96167247386757</v>
      </c>
      <c r="L10" s="8">
        <f t="shared" si="3"/>
        <v>481.96248196248195</v>
      </c>
      <c r="M10" s="8">
        <f t="shared" si="3"/>
        <v>397.43899492631073</v>
      </c>
      <c r="N10" s="8">
        <f t="shared" si="3"/>
        <v>438.85504683303856</v>
      </c>
      <c r="O10" s="8">
        <f t="shared" si="3"/>
        <v>455.29801324503313</v>
      </c>
      <c r="P10" s="8">
        <f t="shared" si="3"/>
        <v>446.34959515547388</v>
      </c>
      <c r="Q10" s="8">
        <f t="shared" si="3"/>
        <v>444.02709772620562</v>
      </c>
      <c r="R10" s="8">
        <f t="shared" si="3"/>
        <v>450.25613372876791</v>
      </c>
      <c r="S10" s="8">
        <f t="shared" si="3"/>
        <v>446.27666535793742</v>
      </c>
      <c r="T10" s="8">
        <f t="shared" si="3"/>
        <v>465.59966742880897</v>
      </c>
      <c r="U10" s="8">
        <f t="shared" si="3"/>
        <v>478.58942065491175</v>
      </c>
      <c r="V10" s="8">
        <f t="shared" si="3"/>
        <v>495.5621301775148</v>
      </c>
      <c r="W10" s="8">
        <f t="shared" si="3"/>
        <v>488.55633802816902</v>
      </c>
      <c r="X10" s="8">
        <f t="shared" si="3"/>
        <v>522.17678515256375</v>
      </c>
      <c r="Y10" s="8">
        <f t="shared" si="3"/>
        <v>518.8936501753019</v>
      </c>
      <c r="Z10" s="8">
        <f t="shared" si="3"/>
        <v>491.08793728274537</v>
      </c>
      <c r="AA10" s="8">
        <f t="shared" si="3"/>
        <v>505.14216575922563</v>
      </c>
      <c r="AB10" s="8">
        <f t="shared" si="3"/>
        <v>519.46038145448904</v>
      </c>
      <c r="AC10" s="8">
        <f t="shared" si="3"/>
        <v>484.54954301465256</v>
      </c>
      <c r="AD10" s="8">
        <f t="shared" si="3"/>
        <v>502.9850746268657</v>
      </c>
      <c r="AE10" s="8">
        <f t="shared" si="3"/>
        <v>502.85544760068228</v>
      </c>
      <c r="AF10" s="8">
        <f t="shared" si="3"/>
        <v>513.51351351351354</v>
      </c>
      <c r="AG10" s="8">
        <f t="shared" si="3"/>
        <v>485.89341692789969</v>
      </c>
      <c r="AH10" s="8">
        <f t="shared" si="3"/>
        <v>514.11136536994661</v>
      </c>
      <c r="AI10" s="8">
        <f t="shared" si="3"/>
        <v>472.58709308966309</v>
      </c>
    </row>
    <row r="11" spans="1:35" s="3" customFormat="1" ht="24.95" customHeight="1">
      <c r="A11" s="51"/>
      <c r="B11" s="9" t="s">
        <v>44</v>
      </c>
      <c r="C11" s="8">
        <f>(C8-C16)/C5</f>
        <v>437.19898184117051</v>
      </c>
      <c r="D11" s="8">
        <f>(D8-D16)/D5</f>
        <v>407.81640452741436</v>
      </c>
      <c r="E11" s="8">
        <f>SUM(E9/E5)</f>
        <v>384.51123747630652</v>
      </c>
      <c r="F11" s="8">
        <f>SUM(F9/F5)</f>
        <v>389.04803144360807</v>
      </c>
      <c r="G11" s="8">
        <f>SUM(G9/G5)</f>
        <v>396.55055340530998</v>
      </c>
      <c r="H11" s="8">
        <f>SUM(H9/H5)</f>
        <v>433.78646708416068</v>
      </c>
      <c r="I11" s="8">
        <f>SUM(I9/I5)</f>
        <v>433.52601156069363</v>
      </c>
      <c r="J11" s="8">
        <f>SUM(J9/J5)</f>
        <v>398.80497464045021</v>
      </c>
      <c r="K11" s="8">
        <f>SUM(K9/K5)</f>
        <v>387.29563119807023</v>
      </c>
      <c r="L11" s="8">
        <f>SUM(L9/L5)</f>
        <v>411.25541125541127</v>
      </c>
      <c r="M11" s="8">
        <f>SUM(M9/M5)</f>
        <v>340.6619956511235</v>
      </c>
      <c r="N11" s="8">
        <f>SUM(N9/N5)</f>
        <v>374.66430863954935</v>
      </c>
      <c r="O11" s="8">
        <f>SUM(O9/O5)</f>
        <v>387.69315673289185</v>
      </c>
      <c r="P11" s="8">
        <f>SUM(P9/P5)</f>
        <v>382.39096414234194</v>
      </c>
      <c r="Q11" s="8">
        <f>SUM(Q9/Q5)</f>
        <v>378.29498960359513</v>
      </c>
      <c r="R11" s="8">
        <f>SUM(R9/R5)</f>
        <v>384.20059315179299</v>
      </c>
      <c r="S11" s="8">
        <f>SUM(S9/S5)</f>
        <v>384.76639183352961</v>
      </c>
      <c r="T11" s="8">
        <f>SUM(T9/T5)</f>
        <v>397.69971592877437</v>
      </c>
      <c r="U11" s="8">
        <f>SUM(U9/U5)</f>
        <v>413.39457697436654</v>
      </c>
      <c r="V11" s="8">
        <f>SUM(V9/V5)</f>
        <v>424.55621301775147</v>
      </c>
      <c r="W11" s="8">
        <f>SUM(W9/W5)</f>
        <v>418.13380281690138</v>
      </c>
      <c r="X11" s="8">
        <f>SUM(X9/X5)</f>
        <v>452.9726329034288</v>
      </c>
      <c r="Y11" s="8">
        <f>SUM(Y9/Y5)</f>
        <v>442.53992987923647</v>
      </c>
      <c r="Z11" s="8">
        <f>SUM(Z9/Z5)</f>
        <v>423.04563271947342</v>
      </c>
      <c r="AA11" s="8">
        <f>SUM(AA9/AA5)</f>
        <v>432.54688445251054</v>
      </c>
      <c r="AB11" s="8">
        <f>SUM(AB9/AB5)</f>
        <v>446.58086525042643</v>
      </c>
      <c r="AC11" s="8">
        <f>SUM(AC9/AC5)</f>
        <v>414.91368054548093</v>
      </c>
      <c r="AD11" s="8">
        <f>SUM(AD9/AD5)</f>
        <v>428.35820895522386</v>
      </c>
      <c r="AE11" s="8">
        <f>SUM(AE9/AE5)</f>
        <v>431.65467625899277</v>
      </c>
      <c r="AF11" s="8">
        <f>SUM(AF9/AF5)</f>
        <v>441.44144144144144</v>
      </c>
      <c r="AG11" s="8">
        <f>SUM(AG9/AG5)</f>
        <v>416.07295525790829</v>
      </c>
      <c r="AH11" s="8">
        <f>SUM(AH9/AH5)</f>
        <v>440.88482074752096</v>
      </c>
      <c r="AI11" s="8">
        <f>SUM(AI9/AI5)</f>
        <v>399.77155910908056</v>
      </c>
    </row>
    <row r="12" spans="1:35" s="3" customFormat="1" ht="24.95" customHeight="1">
      <c r="A12" s="51"/>
      <c r="B12" s="6" t="s">
        <v>45</v>
      </c>
      <c r="C12" s="8">
        <f>D12+'4月'!C12</f>
        <v>206274.696</v>
      </c>
      <c r="D12" s="8">
        <f t="shared" ref="D12:D17" si="4">SUM(E12:AI12)</f>
        <v>44694.36</v>
      </c>
      <c r="E12" s="7">
        <v>1581.9</v>
      </c>
      <c r="F12" s="7">
        <v>1605.68</v>
      </c>
      <c r="G12" s="7">
        <v>1569.42</v>
      </c>
      <c r="H12" s="7">
        <v>1528.74</v>
      </c>
      <c r="I12" s="7">
        <v>1714.6</v>
      </c>
      <c r="J12" s="7">
        <v>1378.64</v>
      </c>
      <c r="K12" s="7">
        <v>1682.24</v>
      </c>
      <c r="L12" s="7">
        <v>1636.64</v>
      </c>
      <c r="M12" s="7">
        <v>1363.72</v>
      </c>
      <c r="N12" s="7">
        <v>1473.1</v>
      </c>
      <c r="O12" s="7">
        <v>1390.58</v>
      </c>
      <c r="P12" s="7">
        <v>1460.02</v>
      </c>
      <c r="Q12" s="7">
        <v>1353.82</v>
      </c>
      <c r="R12" s="7">
        <v>1309.4000000000001</v>
      </c>
      <c r="S12" s="7">
        <v>1346.2</v>
      </c>
      <c r="T12" s="7">
        <v>1258.52</v>
      </c>
      <c r="U12" s="7">
        <v>1339.34</v>
      </c>
      <c r="V12" s="7">
        <v>1392.24</v>
      </c>
      <c r="W12" s="7">
        <v>1338.6</v>
      </c>
      <c r="X12" s="7">
        <v>1227.3</v>
      </c>
      <c r="Y12" s="7">
        <v>1207.52</v>
      </c>
      <c r="Z12" s="7">
        <v>1295.04</v>
      </c>
      <c r="AA12" s="7">
        <v>1320.82</v>
      </c>
      <c r="AB12" s="7">
        <v>1429.68</v>
      </c>
      <c r="AC12" s="7">
        <v>1224.18</v>
      </c>
      <c r="AD12" s="12">
        <v>1644.42</v>
      </c>
      <c r="AE12" s="12">
        <v>1532.22</v>
      </c>
      <c r="AF12" s="7">
        <v>1447.88</v>
      </c>
      <c r="AG12" s="7">
        <v>1604.98</v>
      </c>
      <c r="AH12" s="7">
        <v>1582.14</v>
      </c>
      <c r="AI12" s="7">
        <v>1454.78</v>
      </c>
    </row>
    <row r="13" spans="1:35" s="3" customFormat="1" ht="24.95" customHeight="1">
      <c r="A13" s="52" t="s">
        <v>46</v>
      </c>
      <c r="B13" s="6" t="s">
        <v>36</v>
      </c>
      <c r="C13" s="8">
        <f>D13+'4月'!C13</f>
        <v>210848</v>
      </c>
      <c r="D13" s="10">
        <f t="shared" si="4"/>
        <v>44900</v>
      </c>
      <c r="E13" s="7">
        <v>1431</v>
      </c>
      <c r="F13" s="7">
        <v>1439</v>
      </c>
      <c r="G13" s="7">
        <v>1430</v>
      </c>
      <c r="H13" s="7">
        <v>1440</v>
      </c>
      <c r="I13" s="7">
        <v>1441</v>
      </c>
      <c r="J13" s="7">
        <v>1426</v>
      </c>
      <c r="K13" s="7">
        <v>1437</v>
      </c>
      <c r="L13" s="7">
        <v>1428</v>
      </c>
      <c r="M13" s="27">
        <v>1436</v>
      </c>
      <c r="N13" s="7">
        <v>1436</v>
      </c>
      <c r="O13" s="7">
        <v>1429</v>
      </c>
      <c r="P13" s="27">
        <v>1433</v>
      </c>
      <c r="Q13" s="7">
        <v>1424</v>
      </c>
      <c r="R13" s="7">
        <v>1426</v>
      </c>
      <c r="S13" s="7">
        <v>1443</v>
      </c>
      <c r="T13" s="7">
        <v>1440</v>
      </c>
      <c r="U13" s="7">
        <v>1416</v>
      </c>
      <c r="V13" s="7">
        <v>1436</v>
      </c>
      <c r="W13" s="7">
        <v>1440</v>
      </c>
      <c r="X13" s="7">
        <v>1447</v>
      </c>
      <c r="Y13" s="7">
        <v>1445</v>
      </c>
      <c r="Z13" s="7">
        <v>1427</v>
      </c>
      <c r="AA13" s="7">
        <v>1443</v>
      </c>
      <c r="AB13" s="7">
        <v>1433</v>
      </c>
      <c r="AC13" s="7">
        <v>1435</v>
      </c>
      <c r="AD13" s="7">
        <v>1506</v>
      </c>
      <c r="AE13" s="7">
        <v>1520</v>
      </c>
      <c r="AF13" s="7">
        <f>509+517+501</f>
        <v>1527</v>
      </c>
      <c r="AG13" s="7">
        <f>508+515+514</f>
        <v>1537</v>
      </c>
      <c r="AH13" s="7">
        <f>503+507+496</f>
        <v>1506</v>
      </c>
      <c r="AI13" s="7">
        <f>486+480+477</f>
        <v>1443</v>
      </c>
    </row>
    <row r="14" spans="1:35" s="3" customFormat="1" ht="24.95" customHeight="1">
      <c r="A14" s="55"/>
      <c r="B14" s="6" t="s">
        <v>37</v>
      </c>
      <c r="C14" s="8">
        <f>D14+'4月'!C14</f>
        <v>224538</v>
      </c>
      <c r="D14" s="10">
        <f t="shared" si="4"/>
        <v>48637</v>
      </c>
      <c r="E14" s="7">
        <v>1538</v>
      </c>
      <c r="F14" s="7">
        <v>1601</v>
      </c>
      <c r="G14" s="7">
        <v>1616</v>
      </c>
      <c r="H14" s="7">
        <v>1540</v>
      </c>
      <c r="I14" s="7">
        <v>1530</v>
      </c>
      <c r="J14" s="7">
        <v>1585</v>
      </c>
      <c r="K14" s="7">
        <v>1582</v>
      </c>
      <c r="L14" s="7">
        <v>1566</v>
      </c>
      <c r="M14" s="27">
        <v>1535</v>
      </c>
      <c r="N14" s="7">
        <v>1567</v>
      </c>
      <c r="O14" s="7">
        <v>1555</v>
      </c>
      <c r="P14" s="27">
        <v>1545</v>
      </c>
      <c r="Q14" s="7">
        <v>1559</v>
      </c>
      <c r="R14" s="7">
        <v>1584</v>
      </c>
      <c r="S14" s="7">
        <v>1637</v>
      </c>
      <c r="T14" s="7">
        <v>1591</v>
      </c>
      <c r="U14" s="7">
        <v>1507</v>
      </c>
      <c r="V14" s="7">
        <v>1592</v>
      </c>
      <c r="W14" s="7">
        <v>1565</v>
      </c>
      <c r="X14" s="7">
        <v>1555</v>
      </c>
      <c r="Y14" s="7">
        <v>1570</v>
      </c>
      <c r="Z14" s="7">
        <v>1573</v>
      </c>
      <c r="AA14" s="7">
        <v>1575</v>
      </c>
      <c r="AB14" s="7">
        <v>1595</v>
      </c>
      <c r="AC14" s="7">
        <v>1572</v>
      </c>
      <c r="AD14" s="7">
        <v>1541</v>
      </c>
      <c r="AE14" s="7">
        <v>1572</v>
      </c>
      <c r="AF14" s="7">
        <f>535+519+528</f>
        <v>1582</v>
      </c>
      <c r="AG14" s="7">
        <f>522+522+520</f>
        <v>1564</v>
      </c>
      <c r="AH14" s="7">
        <f>532+526+517</f>
        <v>1575</v>
      </c>
      <c r="AI14" s="7">
        <f>516+530+522</f>
        <v>1568</v>
      </c>
    </row>
    <row r="15" spans="1:35" s="3" customFormat="1" ht="24" customHeight="1">
      <c r="A15" s="56"/>
      <c r="B15" s="7" t="s">
        <v>38</v>
      </c>
      <c r="C15" s="8">
        <f>D15+'4月'!C15</f>
        <v>435386</v>
      </c>
      <c r="D15" s="7">
        <f t="shared" si="4"/>
        <v>93537</v>
      </c>
      <c r="E15" s="7">
        <f>SUM(E13:E14)</f>
        <v>2969</v>
      </c>
      <c r="F15" s="7">
        <f>SUM(F13:F14)</f>
        <v>3040</v>
      </c>
      <c r="G15" s="7">
        <f t="shared" ref="G15:AI15" si="5">SUM(G13:G14)</f>
        <v>3046</v>
      </c>
      <c r="H15" s="7">
        <f t="shared" si="5"/>
        <v>2980</v>
      </c>
      <c r="I15" s="7">
        <f t="shared" si="5"/>
        <v>2971</v>
      </c>
      <c r="J15" s="7">
        <f t="shared" si="5"/>
        <v>3011</v>
      </c>
      <c r="K15" s="7">
        <f t="shared" si="5"/>
        <v>3019</v>
      </c>
      <c r="L15" s="7">
        <f t="shared" si="5"/>
        <v>2994</v>
      </c>
      <c r="M15" s="7">
        <f t="shared" si="5"/>
        <v>2971</v>
      </c>
      <c r="N15" s="7">
        <f t="shared" si="5"/>
        <v>3003</v>
      </c>
      <c r="O15" s="7">
        <f t="shared" si="5"/>
        <v>2984</v>
      </c>
      <c r="P15" s="7">
        <f t="shared" si="5"/>
        <v>2978</v>
      </c>
      <c r="Q15" s="7">
        <f t="shared" si="5"/>
        <v>2983</v>
      </c>
      <c r="R15" s="7">
        <f t="shared" si="5"/>
        <v>3010</v>
      </c>
      <c r="S15" s="7">
        <f t="shared" si="5"/>
        <v>3080</v>
      </c>
      <c r="T15" s="7">
        <f t="shared" si="5"/>
        <v>3031</v>
      </c>
      <c r="U15" s="7">
        <f t="shared" si="5"/>
        <v>2923</v>
      </c>
      <c r="V15" s="7">
        <f t="shared" si="5"/>
        <v>3028</v>
      </c>
      <c r="W15" s="7">
        <f t="shared" si="5"/>
        <v>3005</v>
      </c>
      <c r="X15" s="7">
        <f t="shared" si="5"/>
        <v>3002</v>
      </c>
      <c r="Y15" s="7">
        <f t="shared" si="5"/>
        <v>3015</v>
      </c>
      <c r="Z15" s="7">
        <f t="shared" si="5"/>
        <v>3000</v>
      </c>
      <c r="AA15" s="7">
        <f t="shared" si="5"/>
        <v>3018</v>
      </c>
      <c r="AB15" s="7">
        <f t="shared" si="5"/>
        <v>3028</v>
      </c>
      <c r="AC15" s="7">
        <f t="shared" si="5"/>
        <v>3007</v>
      </c>
      <c r="AD15" s="7">
        <f t="shared" si="5"/>
        <v>3047</v>
      </c>
      <c r="AE15" s="7">
        <f t="shared" si="5"/>
        <v>3092</v>
      </c>
      <c r="AF15" s="7">
        <f t="shared" si="5"/>
        <v>3109</v>
      </c>
      <c r="AG15" s="7">
        <f t="shared" si="5"/>
        <v>3101</v>
      </c>
      <c r="AH15" s="7">
        <f t="shared" si="5"/>
        <v>3081</v>
      </c>
      <c r="AI15" s="7">
        <f t="shared" si="5"/>
        <v>3011</v>
      </c>
    </row>
    <row r="16" spans="1:35" s="3" customFormat="1" ht="24.95" customHeight="1">
      <c r="A16" s="51" t="s">
        <v>47</v>
      </c>
      <c r="B16" s="7" t="s">
        <v>38</v>
      </c>
      <c r="C16" s="8">
        <f>D16+'4月'!C16</f>
        <v>13048000</v>
      </c>
      <c r="D16" s="7">
        <f t="shared" si="4"/>
        <v>2974000</v>
      </c>
      <c r="E16" s="7">
        <v>96000</v>
      </c>
      <c r="F16" s="7">
        <v>94000</v>
      </c>
      <c r="G16" s="7">
        <v>98000</v>
      </c>
      <c r="H16" s="7">
        <v>96000</v>
      </c>
      <c r="I16" s="7">
        <v>94000</v>
      </c>
      <c r="J16" s="7">
        <v>96000</v>
      </c>
      <c r="K16" s="7">
        <v>98000</v>
      </c>
      <c r="L16" s="7">
        <v>98000</v>
      </c>
      <c r="M16" s="7">
        <v>94000</v>
      </c>
      <c r="N16" s="7">
        <v>98000</v>
      </c>
      <c r="O16" s="7">
        <v>98000</v>
      </c>
      <c r="P16" s="7">
        <v>94000</v>
      </c>
      <c r="Q16" s="7">
        <v>98000</v>
      </c>
      <c r="R16" s="7">
        <v>98000</v>
      </c>
      <c r="S16" s="7">
        <v>94000</v>
      </c>
      <c r="T16" s="7">
        <v>98000</v>
      </c>
      <c r="U16" s="7">
        <v>88000</v>
      </c>
      <c r="V16" s="7">
        <v>96000</v>
      </c>
      <c r="W16" s="7">
        <v>96000</v>
      </c>
      <c r="X16" s="7">
        <v>88000</v>
      </c>
      <c r="Y16" s="7">
        <v>98000</v>
      </c>
      <c r="Z16" s="7">
        <v>92000</v>
      </c>
      <c r="AA16" s="7">
        <v>96000</v>
      </c>
      <c r="AB16" s="7">
        <v>94000</v>
      </c>
      <c r="AC16" s="7">
        <v>96000</v>
      </c>
      <c r="AD16" s="7">
        <v>100000</v>
      </c>
      <c r="AE16" s="7">
        <v>96000</v>
      </c>
      <c r="AF16" s="7">
        <v>96000</v>
      </c>
      <c r="AG16" s="7">
        <v>98000</v>
      </c>
      <c r="AH16" s="7">
        <v>96000</v>
      </c>
      <c r="AI16" s="7">
        <v>102000</v>
      </c>
    </row>
    <row r="17" spans="1:35" s="3" customFormat="1" ht="24.95" customHeight="1">
      <c r="A17" s="51"/>
      <c r="B17" s="7" t="s">
        <v>77</v>
      </c>
      <c r="C17" s="8">
        <f>D17+'4月'!C17</f>
        <v>580680</v>
      </c>
      <c r="D17" s="7">
        <f t="shared" si="4"/>
        <v>190650</v>
      </c>
      <c r="E17" s="7">
        <v>6690</v>
      </c>
      <c r="F17" s="7">
        <v>6510</v>
      </c>
      <c r="G17" s="7">
        <v>6135</v>
      </c>
      <c r="H17" s="7">
        <v>6030</v>
      </c>
      <c r="I17" s="7">
        <v>5730</v>
      </c>
      <c r="J17" s="7">
        <v>6990</v>
      </c>
      <c r="K17" s="7">
        <v>6360</v>
      </c>
      <c r="L17" s="7">
        <v>5310</v>
      </c>
      <c r="M17" s="7">
        <v>5175</v>
      </c>
      <c r="N17" s="7">
        <v>5205</v>
      </c>
      <c r="O17" s="7">
        <v>5685</v>
      </c>
      <c r="P17" s="7">
        <v>5970</v>
      </c>
      <c r="Q17" s="7">
        <v>7905</v>
      </c>
      <c r="R17" s="7">
        <v>6780</v>
      </c>
      <c r="S17" s="7">
        <v>5700</v>
      </c>
      <c r="T17" s="7">
        <v>5895</v>
      </c>
      <c r="U17" s="7">
        <v>4875</v>
      </c>
      <c r="V17" s="7">
        <v>4905</v>
      </c>
      <c r="W17" s="7">
        <v>5355</v>
      </c>
      <c r="X17" s="7">
        <v>5280</v>
      </c>
      <c r="Y17" s="7">
        <v>5715</v>
      </c>
      <c r="Z17" s="7">
        <v>4800</v>
      </c>
      <c r="AA17" s="7">
        <v>5640</v>
      </c>
      <c r="AB17" s="7">
        <v>6090</v>
      </c>
      <c r="AC17" s="7">
        <v>6315</v>
      </c>
      <c r="AD17" s="7">
        <v>7350</v>
      </c>
      <c r="AE17" s="7">
        <v>8685</v>
      </c>
      <c r="AF17" s="7">
        <v>7125</v>
      </c>
      <c r="AG17" s="7">
        <v>6480</v>
      </c>
      <c r="AH17" s="7">
        <v>6465</v>
      </c>
      <c r="AI17" s="7">
        <v>7500</v>
      </c>
    </row>
    <row r="18" spans="1:35" s="3" customFormat="1" ht="24.95" customHeight="1">
      <c r="A18" s="51"/>
      <c r="B18" s="6" t="s">
        <v>48</v>
      </c>
      <c r="C18" s="11">
        <f>SUM(C16/C8)</f>
        <v>0.13431883222499022</v>
      </c>
      <c r="D18" s="11">
        <f>SUM(D16/D8)</f>
        <v>0.14346357935359383</v>
      </c>
      <c r="E18" s="11">
        <f>SUM(E16/E8)</f>
        <v>0.14457831325301204</v>
      </c>
      <c r="F18" s="11">
        <f>SUM(F16/F8)</f>
        <v>0.13864306784660768</v>
      </c>
      <c r="G18" s="11">
        <f>SUM(G16/G8)</f>
        <v>0.14369501466275661</v>
      </c>
      <c r="H18" s="11">
        <f>SUM(H16/H8)</f>
        <v>0.14457831325301204</v>
      </c>
      <c r="I18" s="11">
        <f>SUM(I16/I8)</f>
        <v>0.14156626506024098</v>
      </c>
      <c r="J18" s="11">
        <f>SUM(J16/J8)</f>
        <v>0.14328358208955225</v>
      </c>
      <c r="K18" s="11">
        <f>SUM(K16/K8)</f>
        <v>0.14497041420118342</v>
      </c>
      <c r="L18" s="11">
        <f>SUM(L16/L8)</f>
        <v>0.1467065868263473</v>
      </c>
      <c r="M18" s="11">
        <f>SUM(M16/M8)</f>
        <v>0.14285714285714285</v>
      </c>
      <c r="N18" s="11">
        <f>SUM(N16/N8)</f>
        <v>0.14626865671641792</v>
      </c>
      <c r="O18" s="11">
        <f>SUM(O16/O8)</f>
        <v>0.1484848484848485</v>
      </c>
      <c r="P18" s="11">
        <f>SUM(P16/P8)</f>
        <v>0.14329268292682926</v>
      </c>
      <c r="Q18" s="11">
        <f>SUM(Q16/Q8)</f>
        <v>0.14803625377643503</v>
      </c>
      <c r="R18" s="11">
        <f>SUM(R16/R8)</f>
        <v>0.1467065868263473</v>
      </c>
      <c r="S18" s="11">
        <f>SUM(S16/S8)</f>
        <v>0.1378299120234604</v>
      </c>
      <c r="T18" s="11">
        <f>SUM(T16/T8)</f>
        <v>0.14583333333333334</v>
      </c>
      <c r="U18" s="11">
        <f>SUM(U16/U8)</f>
        <v>0.13622291021671826</v>
      </c>
      <c r="V18" s="11">
        <f>SUM(V16/V8)</f>
        <v>0.14328358208955225</v>
      </c>
      <c r="W18" s="11">
        <f>SUM(W16/W8)</f>
        <v>0.14414414414414414</v>
      </c>
      <c r="X18" s="11">
        <f>SUM(X16/X8)</f>
        <v>0.13253012048192772</v>
      </c>
      <c r="Y18" s="11">
        <f>SUM(Y16/Y8)</f>
        <v>0.14714714714714713</v>
      </c>
      <c r="Z18" s="11">
        <f>SUM(Z16/Z8)</f>
        <v>0.13855421686746988</v>
      </c>
      <c r="AA18" s="11">
        <f>SUM(AA16/AA8)</f>
        <v>0.1437125748502994</v>
      </c>
      <c r="AB18" s="11">
        <f>SUM(AB16/AB8)</f>
        <v>0.14029850746268657</v>
      </c>
      <c r="AC18" s="11">
        <f>SUM(AC16/AC8)</f>
        <v>0.1437125748502994</v>
      </c>
      <c r="AD18" s="11">
        <f>SUM(AD16/AD8)</f>
        <v>0.14836795252225518</v>
      </c>
      <c r="AE18" s="11">
        <f>SUM(AE16/AE8)</f>
        <v>0.1415929203539823</v>
      </c>
      <c r="AF18" s="11">
        <f>SUM(AF16/AF8)</f>
        <v>0.14035087719298245</v>
      </c>
      <c r="AG18" s="11">
        <f>SUM(AG16/AG8)</f>
        <v>0.14369501466275661</v>
      </c>
      <c r="AH18" s="11">
        <f>SUM(AH16/AH8)</f>
        <v>0.14243323442136499</v>
      </c>
      <c r="AI18" s="11">
        <f>SUM(AI16/AI8)</f>
        <v>0.15407854984894259</v>
      </c>
    </row>
    <row r="19" spans="1:35" s="3" customFormat="1" ht="24.95" customHeight="1">
      <c r="A19" s="13"/>
      <c r="B19" s="13" t="s">
        <v>49</v>
      </c>
      <c r="C19" s="7"/>
      <c r="D19" s="7">
        <f t="shared" ref="D19" si="6">COUNT(E19:AI19)</f>
        <v>31</v>
      </c>
      <c r="E19" s="14">
        <v>8500</v>
      </c>
      <c r="F19" s="14">
        <v>8500</v>
      </c>
      <c r="G19" s="14">
        <v>8500</v>
      </c>
      <c r="H19" s="14">
        <v>8500</v>
      </c>
      <c r="I19" s="14">
        <v>8500</v>
      </c>
      <c r="J19" s="14">
        <v>8300</v>
      </c>
      <c r="K19" s="14">
        <v>8100</v>
      </c>
      <c r="L19" s="14">
        <v>8100</v>
      </c>
      <c r="M19" s="7">
        <v>7600</v>
      </c>
      <c r="N19" s="7">
        <v>7300</v>
      </c>
      <c r="O19" s="7">
        <v>7100</v>
      </c>
      <c r="P19" s="7">
        <v>6800</v>
      </c>
      <c r="Q19" s="7">
        <v>6400</v>
      </c>
      <c r="R19" s="7">
        <v>6000</v>
      </c>
      <c r="S19" s="7">
        <v>5700</v>
      </c>
      <c r="T19" s="7">
        <v>5300</v>
      </c>
      <c r="U19" s="7">
        <v>5000</v>
      </c>
      <c r="V19" s="7">
        <v>4800</v>
      </c>
      <c r="W19" s="7">
        <v>4700</v>
      </c>
      <c r="X19" s="7">
        <v>4400</v>
      </c>
      <c r="Y19" s="7">
        <v>4200</v>
      </c>
      <c r="Z19" s="7">
        <v>3900</v>
      </c>
      <c r="AA19" s="7">
        <v>3700</v>
      </c>
      <c r="AB19" s="7">
        <v>3500</v>
      </c>
      <c r="AC19" s="7">
        <v>3200</v>
      </c>
      <c r="AD19" s="7">
        <v>3400</v>
      </c>
      <c r="AE19" s="7">
        <v>3400</v>
      </c>
      <c r="AF19" s="7">
        <v>3300</v>
      </c>
      <c r="AG19" s="7">
        <v>3200</v>
      </c>
      <c r="AH19" s="7">
        <v>3200</v>
      </c>
      <c r="AI19" s="7">
        <v>3100</v>
      </c>
    </row>
    <row r="20" spans="1:35" s="3" customFormat="1" ht="24.95" customHeight="1">
      <c r="A20" s="62" t="s">
        <v>50</v>
      </c>
      <c r="B20" s="13" t="s">
        <v>51</v>
      </c>
      <c r="C20" s="7">
        <f>D20+'4月'!C20</f>
        <v>40061.4</v>
      </c>
      <c r="D20" s="7">
        <f t="shared" ref="D20:D33" si="7">SUM(E20:AI20)</f>
        <v>9055.7800000000007</v>
      </c>
      <c r="E20" s="7">
        <v>281.22000000000003</v>
      </c>
      <c r="F20" s="15">
        <v>302.77999999999997</v>
      </c>
      <c r="G20" s="15">
        <v>303.83999999999997</v>
      </c>
      <c r="H20" s="15">
        <v>309.45999999999998</v>
      </c>
      <c r="I20" s="15">
        <v>325.16000000000003</v>
      </c>
      <c r="J20" s="15">
        <v>267.3</v>
      </c>
      <c r="K20" s="15">
        <v>301.77999999999997</v>
      </c>
      <c r="L20" s="15">
        <v>289.60000000000002</v>
      </c>
      <c r="M20" s="15">
        <v>286.89999999999998</v>
      </c>
      <c r="N20" s="15">
        <v>268.72000000000003</v>
      </c>
      <c r="O20" s="15">
        <v>272.98</v>
      </c>
      <c r="P20" s="15">
        <v>300.5</v>
      </c>
      <c r="Q20" s="15">
        <v>343.22</v>
      </c>
      <c r="R20" s="17">
        <v>268.36</v>
      </c>
      <c r="S20" s="15">
        <v>291.04000000000002</v>
      </c>
      <c r="T20" s="15">
        <v>260.54000000000002</v>
      </c>
      <c r="U20" s="15">
        <v>274.52</v>
      </c>
      <c r="V20" s="15">
        <v>299.04000000000002</v>
      </c>
      <c r="W20" s="15">
        <v>316.3</v>
      </c>
      <c r="X20" s="15">
        <v>284.94</v>
      </c>
      <c r="Y20" s="15">
        <v>257.48</v>
      </c>
      <c r="Z20" s="15">
        <v>296.86</v>
      </c>
      <c r="AA20" s="15">
        <v>305.39999999999998</v>
      </c>
      <c r="AB20" s="15">
        <v>279.38</v>
      </c>
      <c r="AC20" s="15">
        <v>264.56</v>
      </c>
      <c r="AD20" s="15">
        <v>257.5</v>
      </c>
      <c r="AE20" s="15">
        <v>266.72000000000003</v>
      </c>
      <c r="AF20" s="15">
        <v>276.44</v>
      </c>
      <c r="AG20" s="15">
        <v>345.66</v>
      </c>
      <c r="AH20" s="15">
        <v>341.34</v>
      </c>
      <c r="AI20" s="15">
        <v>316.24</v>
      </c>
    </row>
    <row r="21" spans="1:35" s="3" customFormat="1" ht="24.95" customHeight="1">
      <c r="A21" s="63"/>
      <c r="B21" s="16" t="s">
        <v>52</v>
      </c>
      <c r="C21" s="7">
        <f>D21+'4月'!C21</f>
        <v>3424.5199999999995</v>
      </c>
      <c r="D21" s="7">
        <f t="shared" si="7"/>
        <v>0</v>
      </c>
      <c r="E21" s="17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3"/>
      <c r="B22" s="16" t="s">
        <v>53</v>
      </c>
      <c r="C22" s="7">
        <f>D22+'4月'!C22</f>
        <v>0</v>
      </c>
      <c r="D22" s="7">
        <f t="shared" si="7"/>
        <v>0</v>
      </c>
      <c r="E22" s="17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4.95" customHeight="1">
      <c r="A23" s="63"/>
      <c r="B23" s="13" t="s">
        <v>54</v>
      </c>
      <c r="C23" s="7">
        <f>D23+'4月'!C23</f>
        <v>0</v>
      </c>
      <c r="D23" s="7">
        <f t="shared" si="7"/>
        <v>0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3" t="s">
        <v>55</v>
      </c>
      <c r="C24" s="7">
        <f>D24+'4月'!C24</f>
        <v>1407.0399999999997</v>
      </c>
      <c r="D24" s="7">
        <f t="shared" si="7"/>
        <v>1407.0399999999997</v>
      </c>
      <c r="E24" s="17"/>
      <c r="F24" s="15"/>
      <c r="G24" s="15"/>
      <c r="H24" s="15"/>
      <c r="I24" s="17"/>
      <c r="J24" s="17"/>
      <c r="K24" s="15"/>
      <c r="L24" s="17"/>
      <c r="M24" s="15"/>
      <c r="N24" s="15"/>
      <c r="O24" s="15"/>
      <c r="P24" s="17"/>
      <c r="Q24" s="15"/>
      <c r="R24" s="17"/>
      <c r="S24" s="15"/>
      <c r="T24" s="17"/>
      <c r="U24" s="15"/>
      <c r="V24" s="15"/>
      <c r="W24" s="15"/>
      <c r="X24" s="15"/>
      <c r="Y24" s="15"/>
      <c r="Z24" s="15"/>
      <c r="AA24" s="15"/>
      <c r="AB24" s="15">
        <v>76</v>
      </c>
      <c r="AC24" s="15">
        <v>135.58000000000001</v>
      </c>
      <c r="AD24" s="15">
        <v>198.92</v>
      </c>
      <c r="AE24" s="15">
        <v>174.92</v>
      </c>
      <c r="AF24" s="15">
        <v>206.16</v>
      </c>
      <c r="AG24" s="15">
        <v>224.16</v>
      </c>
      <c r="AH24" s="17">
        <v>220.2</v>
      </c>
      <c r="AI24" s="15">
        <v>171.1</v>
      </c>
    </row>
    <row r="25" spans="1:35" s="3" customFormat="1" ht="22.15" customHeight="1">
      <c r="A25" s="63"/>
      <c r="B25" s="18" t="s">
        <v>56</v>
      </c>
      <c r="C25" s="7">
        <f>D25+'4月'!C25</f>
        <v>0</v>
      </c>
      <c r="D25" s="7">
        <f t="shared" si="7"/>
        <v>0</v>
      </c>
      <c r="E25" s="17"/>
      <c r="F25" s="15"/>
      <c r="G25" s="15"/>
      <c r="H25" s="15"/>
      <c r="I25" s="17"/>
      <c r="J25" s="17"/>
      <c r="K25" s="15"/>
      <c r="L25" s="17"/>
      <c r="M25" s="15"/>
      <c r="N25" s="15"/>
      <c r="O25" s="15"/>
      <c r="P25" s="17"/>
      <c r="Q25" s="15"/>
      <c r="R25" s="17"/>
      <c r="S25" s="15"/>
      <c r="T25" s="17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7"/>
      <c r="AI25" s="15"/>
    </row>
    <row r="26" spans="1:35" s="3" customFormat="1" ht="22.15" customHeight="1">
      <c r="A26" s="63"/>
      <c r="B26" s="16" t="s">
        <v>57</v>
      </c>
      <c r="C26" s="7">
        <f>D26+'4月'!C26</f>
        <v>35206.839999999997</v>
      </c>
      <c r="D26" s="7">
        <f t="shared" si="7"/>
        <v>7943.46</v>
      </c>
      <c r="E26" s="17">
        <v>242.72</v>
      </c>
      <c r="F26" s="15">
        <v>221.96</v>
      </c>
      <c r="G26" s="15">
        <v>241.42</v>
      </c>
      <c r="H26" s="15">
        <v>243.76</v>
      </c>
      <c r="I26" s="17">
        <v>288.76</v>
      </c>
      <c r="J26" s="17">
        <v>246.8</v>
      </c>
      <c r="K26" s="15">
        <v>302.16000000000003</v>
      </c>
      <c r="L26" s="17">
        <v>239.92</v>
      </c>
      <c r="M26" s="15">
        <v>258.06</v>
      </c>
      <c r="N26" s="15">
        <v>228.94</v>
      </c>
      <c r="O26" s="15">
        <v>245.44</v>
      </c>
      <c r="P26" s="17">
        <v>245.26</v>
      </c>
      <c r="Q26" s="15">
        <v>249.58</v>
      </c>
      <c r="R26" s="17">
        <v>284.14</v>
      </c>
      <c r="S26" s="15">
        <v>281.02</v>
      </c>
      <c r="T26" s="17">
        <v>227.9</v>
      </c>
      <c r="U26" s="15">
        <v>275.45999999999998</v>
      </c>
      <c r="V26" s="15">
        <v>235.4</v>
      </c>
      <c r="W26" s="15">
        <v>244.66</v>
      </c>
      <c r="X26" s="15">
        <v>260.8</v>
      </c>
      <c r="Y26" s="15">
        <v>253.34</v>
      </c>
      <c r="Z26" s="15">
        <v>256.27999999999997</v>
      </c>
      <c r="AA26" s="15">
        <v>257.10000000000002</v>
      </c>
      <c r="AB26" s="15">
        <v>263.33999999999997</v>
      </c>
      <c r="AC26" s="15">
        <v>242.88</v>
      </c>
      <c r="AD26" s="15">
        <v>267.86</v>
      </c>
      <c r="AE26" s="15">
        <v>271.56</v>
      </c>
      <c r="AF26" s="15">
        <v>228.32</v>
      </c>
      <c r="AG26" s="15">
        <v>290.56</v>
      </c>
      <c r="AH26" s="17">
        <v>274.56</v>
      </c>
      <c r="AI26" s="15">
        <v>273.5</v>
      </c>
    </row>
    <row r="27" spans="1:35" s="3" customFormat="1" ht="22.15" customHeight="1">
      <c r="A27" s="63"/>
      <c r="B27" s="13" t="s">
        <v>58</v>
      </c>
      <c r="C27" s="7">
        <f>D27+'4月'!C27</f>
        <v>0</v>
      </c>
      <c r="D27" s="7">
        <f t="shared" si="7"/>
        <v>0</v>
      </c>
      <c r="E27" s="17"/>
      <c r="F27" s="15"/>
      <c r="G27" s="15"/>
      <c r="H27" s="15"/>
      <c r="I27" s="17"/>
      <c r="J27" s="17"/>
      <c r="K27" s="15"/>
      <c r="L27" s="17"/>
      <c r="M27" s="15"/>
      <c r="N27" s="15"/>
      <c r="O27" s="15"/>
      <c r="P27" s="17"/>
      <c r="Q27" s="15"/>
      <c r="R27" s="17"/>
      <c r="S27" s="15"/>
      <c r="T27" s="17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7"/>
      <c r="AI27" s="15"/>
    </row>
    <row r="28" spans="1:35" s="3" customFormat="1" ht="22.15" customHeight="1">
      <c r="A28" s="63"/>
      <c r="B28" s="19" t="s">
        <v>59</v>
      </c>
      <c r="C28" s="7">
        <f>D28+'4月'!C28</f>
        <v>24193.420000000002</v>
      </c>
      <c r="D28" s="7">
        <f t="shared" si="7"/>
        <v>0</v>
      </c>
      <c r="E28" s="17"/>
      <c r="F28" s="15"/>
      <c r="G28" s="15"/>
      <c r="H28" s="15"/>
      <c r="I28" s="17"/>
      <c r="J28" s="17"/>
      <c r="K28" s="15"/>
      <c r="L28" s="17"/>
      <c r="M28" s="15"/>
      <c r="N28" s="15"/>
      <c r="O28" s="15"/>
      <c r="P28" s="17"/>
      <c r="Q28" s="15"/>
      <c r="R28" s="17"/>
      <c r="S28" s="15"/>
      <c r="T28" s="17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7"/>
      <c r="AI28" s="15"/>
    </row>
    <row r="29" spans="1:35" s="3" customFormat="1" ht="22.15" customHeight="1">
      <c r="A29" s="63"/>
      <c r="B29" s="19" t="s">
        <v>60</v>
      </c>
      <c r="C29" s="7">
        <f>D29+'4月'!C29</f>
        <v>27489.82</v>
      </c>
      <c r="D29" s="7">
        <f t="shared" si="7"/>
        <v>7200.4600000000009</v>
      </c>
      <c r="E29" s="17">
        <v>458.9</v>
      </c>
      <c r="F29" s="15">
        <v>404.68</v>
      </c>
      <c r="G29" s="15">
        <v>332.26</v>
      </c>
      <c r="H29" s="15">
        <v>336.5</v>
      </c>
      <c r="I29" s="17">
        <v>403.74</v>
      </c>
      <c r="J29" s="17">
        <v>223.68</v>
      </c>
      <c r="K29" s="15">
        <v>439.78</v>
      </c>
      <c r="L29" s="17">
        <v>476.26</v>
      </c>
      <c r="M29" s="15">
        <v>161.82</v>
      </c>
      <c r="N29" s="15">
        <v>292.54000000000002</v>
      </c>
      <c r="O29" s="15">
        <v>230.96</v>
      </c>
      <c r="P29" s="17">
        <v>262.83999999999997</v>
      </c>
      <c r="Q29" s="15">
        <v>183.08</v>
      </c>
      <c r="R29" s="17">
        <v>181.42</v>
      </c>
      <c r="S29" s="15">
        <v>180.72</v>
      </c>
      <c r="T29" s="17">
        <v>144.76</v>
      </c>
      <c r="U29" s="15">
        <v>165.92</v>
      </c>
      <c r="V29" s="15">
        <v>179.94</v>
      </c>
      <c r="W29" s="15">
        <v>193.94</v>
      </c>
      <c r="X29" s="15">
        <v>177.5</v>
      </c>
      <c r="Y29" s="15">
        <v>154.34</v>
      </c>
      <c r="Z29" s="15">
        <v>174.32</v>
      </c>
      <c r="AA29" s="15">
        <v>168.74</v>
      </c>
      <c r="AB29" s="15">
        <v>179.68</v>
      </c>
      <c r="AC29" s="15">
        <v>160.46</v>
      </c>
      <c r="AD29" s="15">
        <v>141.74</v>
      </c>
      <c r="AE29" s="15">
        <v>170.02</v>
      </c>
      <c r="AF29" s="15">
        <v>149.91999999999999</v>
      </c>
      <c r="AG29" s="15">
        <v>138.54</v>
      </c>
      <c r="AH29" s="17">
        <v>183.68</v>
      </c>
      <c r="AI29" s="15">
        <v>147.78</v>
      </c>
    </row>
    <row r="30" spans="1:35" s="3" customFormat="1" ht="22.15" customHeight="1">
      <c r="A30" s="63"/>
      <c r="B30" s="19" t="s">
        <v>61</v>
      </c>
      <c r="C30" s="7">
        <f>D30+'4月'!C30</f>
        <v>73997.8</v>
      </c>
      <c r="D30" s="7">
        <f t="shared" si="7"/>
        <v>19003.88</v>
      </c>
      <c r="E30" s="17">
        <v>599.05999999999995</v>
      </c>
      <c r="F30" s="15">
        <v>676.26</v>
      </c>
      <c r="G30" s="15">
        <v>691.9</v>
      </c>
      <c r="H30" s="15">
        <v>639.02</v>
      </c>
      <c r="I30" s="17">
        <v>696.94</v>
      </c>
      <c r="J30" s="17">
        <v>640.86</v>
      </c>
      <c r="K30" s="15">
        <v>638.52</v>
      </c>
      <c r="L30" s="17">
        <v>630.86</v>
      </c>
      <c r="M30" s="15">
        <v>656.94</v>
      </c>
      <c r="N30" s="15">
        <v>682.9</v>
      </c>
      <c r="O30" s="15">
        <v>641.20000000000005</v>
      </c>
      <c r="P30" s="17">
        <v>651.41999999999996</v>
      </c>
      <c r="Q30" s="15">
        <v>577.94000000000005</v>
      </c>
      <c r="R30" s="17">
        <v>575.48</v>
      </c>
      <c r="S30" s="15">
        <v>593.41999999999996</v>
      </c>
      <c r="T30" s="17">
        <v>625.32000000000005</v>
      </c>
      <c r="U30" s="15">
        <v>623.44000000000005</v>
      </c>
      <c r="V30" s="15">
        <v>677.86</v>
      </c>
      <c r="W30" s="15">
        <v>541.05999999999995</v>
      </c>
      <c r="X30" s="15">
        <v>504.06</v>
      </c>
      <c r="Y30" s="15">
        <v>501.26</v>
      </c>
      <c r="Z30" s="15">
        <v>567.58000000000004</v>
      </c>
      <c r="AA30" s="15">
        <v>589.58000000000004</v>
      </c>
      <c r="AB30" s="15">
        <v>631.28</v>
      </c>
      <c r="AC30" s="15">
        <v>420.7</v>
      </c>
      <c r="AD30" s="15">
        <v>778.4</v>
      </c>
      <c r="AE30" s="15">
        <v>649</v>
      </c>
      <c r="AF30" s="15">
        <v>587.04</v>
      </c>
      <c r="AG30" s="15">
        <v>606.05999999999995</v>
      </c>
      <c r="AH30" s="17">
        <v>562.36</v>
      </c>
      <c r="AI30" s="15">
        <v>546.16</v>
      </c>
    </row>
    <row r="31" spans="1:35" s="3" customFormat="1" ht="22.15" customHeight="1">
      <c r="A31" s="63"/>
      <c r="B31" s="19" t="s">
        <v>62</v>
      </c>
      <c r="C31" s="7">
        <f>D31+'4月'!C31</f>
        <v>32.82</v>
      </c>
      <c r="D31" s="7">
        <f t="shared" si="7"/>
        <v>0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7"/>
      <c r="AI31" s="15"/>
    </row>
    <row r="32" spans="1:35" s="3" customFormat="1" ht="22.15" customHeight="1">
      <c r="A32" s="63"/>
      <c r="B32" s="19" t="s">
        <v>63</v>
      </c>
      <c r="C32" s="7">
        <f>D32+'4月'!C32</f>
        <v>0</v>
      </c>
      <c r="D32" s="7">
        <f t="shared" si="7"/>
        <v>0</v>
      </c>
      <c r="E32" s="17"/>
      <c r="F32" s="15"/>
      <c r="G32" s="15"/>
      <c r="H32" s="15"/>
      <c r="I32" s="17"/>
      <c r="J32" s="17"/>
      <c r="K32" s="15"/>
      <c r="L32" s="17"/>
      <c r="M32" s="15"/>
      <c r="N32" s="15"/>
      <c r="O32" s="15"/>
      <c r="P32" s="17"/>
      <c r="Q32" s="15"/>
      <c r="R32" s="17"/>
      <c r="S32" s="15"/>
      <c r="T32" s="17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7"/>
      <c r="AI32" s="15"/>
    </row>
    <row r="33" spans="1:35" s="3" customFormat="1" ht="22.15" customHeight="1">
      <c r="A33" s="63"/>
      <c r="B33" s="19" t="s">
        <v>64</v>
      </c>
      <c r="C33" s="7">
        <f>D33+'4月'!C33</f>
        <v>461.04</v>
      </c>
      <c r="D33" s="7">
        <f t="shared" si="7"/>
        <v>83.740000000000009</v>
      </c>
      <c r="E33" s="17"/>
      <c r="F33" s="15"/>
      <c r="G33" s="15"/>
      <c r="H33" s="15"/>
      <c r="I33" s="17"/>
      <c r="J33" s="17"/>
      <c r="K33" s="15"/>
      <c r="L33" s="17"/>
      <c r="M33" s="15"/>
      <c r="N33" s="15"/>
      <c r="O33" s="15"/>
      <c r="P33" s="17"/>
      <c r="Q33" s="15"/>
      <c r="R33" s="17"/>
      <c r="S33" s="15"/>
      <c r="T33" s="17"/>
      <c r="U33" s="15"/>
      <c r="V33" s="15"/>
      <c r="W33" s="15">
        <v>42.64</v>
      </c>
      <c r="X33" s="15"/>
      <c r="Y33" s="15">
        <v>41.1</v>
      </c>
      <c r="Z33" s="15"/>
      <c r="AA33" s="15"/>
      <c r="AB33" s="15"/>
      <c r="AC33" s="15"/>
      <c r="AD33" s="15"/>
      <c r="AE33" s="28"/>
      <c r="AF33" s="28"/>
      <c r="AG33" s="15"/>
      <c r="AH33" s="17"/>
      <c r="AI33" s="15"/>
    </row>
    <row r="34" spans="1:35" s="3" customFormat="1" ht="22.15" hidden="1" customHeight="1">
      <c r="A34" s="63"/>
      <c r="B34" s="19"/>
      <c r="C34" s="7">
        <f>D34+'4月'!C34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5">
        <v>0</v>
      </c>
      <c r="AF34" s="17"/>
      <c r="AG34" s="17"/>
      <c r="AH34" s="17"/>
      <c r="AI34" s="17"/>
    </row>
    <row r="35" spans="1:35" s="3" customFormat="1" ht="22.15" hidden="1" customHeight="1">
      <c r="A35" s="63"/>
      <c r="B35" s="19"/>
      <c r="C35" s="7">
        <f>D35+'4月'!C35</f>
        <v>0</v>
      </c>
      <c r="D35" s="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3" customFormat="1" ht="26.1" customHeight="1">
      <c r="A36" s="64"/>
      <c r="B36" s="12" t="s">
        <v>65</v>
      </c>
      <c r="C36" s="7">
        <f>D36+'4月'!C36</f>
        <v>206274.7</v>
      </c>
      <c r="D36" s="7">
        <f>SUM(D20:D35)</f>
        <v>44694.359999999993</v>
      </c>
      <c r="E36" s="7">
        <f>SUM(E20:E35)</f>
        <v>1581.9</v>
      </c>
      <c r="F36" s="7">
        <f t="shared" ref="F36:AI36" si="8">SUM(F20:F35)</f>
        <v>1605.68</v>
      </c>
      <c r="G36" s="7">
        <f t="shared" si="8"/>
        <v>1569.42</v>
      </c>
      <c r="H36" s="7">
        <f t="shared" si="8"/>
        <v>1528.74</v>
      </c>
      <c r="I36" s="7">
        <f t="shared" si="8"/>
        <v>1714.6000000000001</v>
      </c>
      <c r="J36" s="7">
        <f t="shared" si="8"/>
        <v>1378.6399999999999</v>
      </c>
      <c r="K36" s="7">
        <f t="shared" si="8"/>
        <v>1682.24</v>
      </c>
      <c r="L36" s="7">
        <f t="shared" si="8"/>
        <v>1636.6399999999999</v>
      </c>
      <c r="M36" s="7">
        <f t="shared" si="8"/>
        <v>1363.72</v>
      </c>
      <c r="N36" s="7">
        <f t="shared" si="8"/>
        <v>1473.1</v>
      </c>
      <c r="O36" s="7">
        <f t="shared" si="8"/>
        <v>1390.5800000000002</v>
      </c>
      <c r="P36" s="7">
        <f t="shared" si="8"/>
        <v>1460.02</v>
      </c>
      <c r="Q36" s="7">
        <f t="shared" si="8"/>
        <v>1353.8200000000002</v>
      </c>
      <c r="R36" s="7">
        <f t="shared" si="8"/>
        <v>1309.4000000000001</v>
      </c>
      <c r="S36" s="7">
        <f t="shared" si="8"/>
        <v>1346.1999999999998</v>
      </c>
      <c r="T36" s="7">
        <f t="shared" si="8"/>
        <v>1258.52</v>
      </c>
      <c r="U36" s="7">
        <f t="shared" si="8"/>
        <v>1339.3400000000001</v>
      </c>
      <c r="V36" s="7">
        <f t="shared" si="8"/>
        <v>1392.2400000000002</v>
      </c>
      <c r="W36" s="7">
        <f t="shared" si="8"/>
        <v>1338.6000000000001</v>
      </c>
      <c r="X36" s="7">
        <f t="shared" si="8"/>
        <v>1227.3</v>
      </c>
      <c r="Y36" s="7">
        <f t="shared" si="8"/>
        <v>1207.52</v>
      </c>
      <c r="Z36" s="7">
        <f t="shared" si="8"/>
        <v>1295.04</v>
      </c>
      <c r="AA36" s="7">
        <f t="shared" si="8"/>
        <v>1320.8200000000002</v>
      </c>
      <c r="AB36" s="7">
        <f t="shared" si="8"/>
        <v>1429.68</v>
      </c>
      <c r="AC36" s="7">
        <f t="shared" si="8"/>
        <v>1224.18</v>
      </c>
      <c r="AD36" s="7">
        <f t="shared" si="8"/>
        <v>1644.42</v>
      </c>
      <c r="AE36" s="7">
        <f>SUM(AE20:AE33)</f>
        <v>1532.22</v>
      </c>
      <c r="AF36" s="7">
        <f t="shared" si="8"/>
        <v>1447.88</v>
      </c>
      <c r="AG36" s="7">
        <f t="shared" si="8"/>
        <v>1604.98</v>
      </c>
      <c r="AH36" s="7">
        <f t="shared" si="8"/>
        <v>1582.1399999999999</v>
      </c>
      <c r="AI36" s="7">
        <f t="shared" si="8"/>
        <v>1454.78</v>
      </c>
    </row>
    <row r="37" spans="1:35" s="3" customFormat="1" ht="26.25" customHeight="1">
      <c r="A37" s="61" t="s">
        <v>68</v>
      </c>
      <c r="B37" s="12" t="s">
        <v>66</v>
      </c>
      <c r="C37" s="7">
        <f>D37+'4月'!C37</f>
        <v>47692.5</v>
      </c>
      <c r="D37" s="7">
        <f>SUM(E37:AI37)</f>
        <v>11559.400000000001</v>
      </c>
      <c r="E37" s="7">
        <v>353.48</v>
      </c>
      <c r="F37" s="7">
        <v>432.9</v>
      </c>
      <c r="G37" s="7">
        <v>448.34</v>
      </c>
      <c r="H37" s="7">
        <v>387.8</v>
      </c>
      <c r="I37" s="7">
        <v>303.26</v>
      </c>
      <c r="J37" s="7">
        <v>294.32</v>
      </c>
      <c r="K37" s="7">
        <v>496.88</v>
      </c>
      <c r="L37" s="7">
        <v>396.64</v>
      </c>
      <c r="M37" s="7">
        <v>351.64</v>
      </c>
      <c r="N37" s="7">
        <v>500.76</v>
      </c>
      <c r="O37" s="7">
        <v>431.98</v>
      </c>
      <c r="P37" s="7">
        <v>412.02</v>
      </c>
      <c r="Q37" s="7">
        <v>495.28</v>
      </c>
      <c r="R37" s="7">
        <v>454.26</v>
      </c>
      <c r="S37" s="7">
        <v>379.76</v>
      </c>
      <c r="T37" s="7">
        <v>276.5</v>
      </c>
      <c r="U37" s="7">
        <v>460.8</v>
      </c>
      <c r="V37" s="7">
        <v>309.10000000000002</v>
      </c>
      <c r="W37" s="7">
        <v>476.28</v>
      </c>
      <c r="X37" s="7">
        <v>289.94</v>
      </c>
      <c r="Y37" s="7">
        <v>327.9</v>
      </c>
      <c r="Z37" s="7">
        <v>362.54</v>
      </c>
      <c r="AA37" s="7">
        <v>261.66000000000003</v>
      </c>
      <c r="AB37" s="7">
        <v>288.58</v>
      </c>
      <c r="AC37" s="7">
        <v>343.94</v>
      </c>
      <c r="AD37" s="7">
        <v>341.14</v>
      </c>
      <c r="AE37" s="7">
        <v>359.36</v>
      </c>
      <c r="AF37" s="7">
        <v>312.68</v>
      </c>
      <c r="AG37" s="7">
        <v>337.5</v>
      </c>
      <c r="AH37" s="7">
        <v>431.82</v>
      </c>
      <c r="AI37" s="7">
        <v>240.34</v>
      </c>
    </row>
    <row r="38" spans="1:35" s="3" customFormat="1" ht="26.1" customHeight="1">
      <c r="A38" s="53"/>
      <c r="B38" s="12" t="s">
        <v>67</v>
      </c>
      <c r="C38" s="7">
        <f>D38+'4月'!C38</f>
        <v>4809.3</v>
      </c>
      <c r="D38" s="7">
        <f t="shared" ref="D38:D42" si="9">SUM(E38:AI38)</f>
        <v>1040.1600000000001</v>
      </c>
      <c r="E38" s="7">
        <v>46.92</v>
      </c>
      <c r="F38" s="7">
        <v>43.68</v>
      </c>
      <c r="G38" s="7">
        <v>45.36</v>
      </c>
      <c r="H38" s="7">
        <v>20.66</v>
      </c>
      <c r="I38" s="7">
        <v>19.600000000000001</v>
      </c>
      <c r="J38" s="7">
        <v>31.78</v>
      </c>
      <c r="K38" s="7">
        <v>20.7</v>
      </c>
      <c r="L38" s="7">
        <v>49.34</v>
      </c>
      <c r="M38" s="7">
        <v>22</v>
      </c>
      <c r="N38" s="7">
        <v>52.52</v>
      </c>
      <c r="O38" s="7">
        <v>56.86</v>
      </c>
      <c r="P38" s="7">
        <v>42.5</v>
      </c>
      <c r="Q38" s="7">
        <v>10.46</v>
      </c>
      <c r="R38" s="7">
        <v>32.96</v>
      </c>
      <c r="S38" s="7">
        <v>43.2</v>
      </c>
      <c r="T38" s="7">
        <v>42.7</v>
      </c>
      <c r="U38" s="7">
        <v>39.36</v>
      </c>
      <c r="V38" s="7">
        <v>22.8</v>
      </c>
      <c r="W38" s="7">
        <v>0</v>
      </c>
      <c r="X38" s="7">
        <v>54.94</v>
      </c>
      <c r="Y38" s="7">
        <v>36.08</v>
      </c>
      <c r="Z38" s="7">
        <v>39.18</v>
      </c>
      <c r="AA38" s="7">
        <v>44.98</v>
      </c>
      <c r="AB38" s="7">
        <v>32.82</v>
      </c>
      <c r="AC38" s="7">
        <v>11.5</v>
      </c>
      <c r="AD38" s="7">
        <v>11.34</v>
      </c>
      <c r="AE38" s="7">
        <v>40.74</v>
      </c>
      <c r="AF38" s="7">
        <v>32.380000000000003</v>
      </c>
      <c r="AG38" s="7">
        <v>41.66</v>
      </c>
      <c r="AH38" s="7">
        <v>51.14</v>
      </c>
      <c r="AI38" s="7">
        <v>0</v>
      </c>
    </row>
    <row r="39" spans="1:35" s="3" customFormat="1" ht="24.95" customHeight="1">
      <c r="A39" s="54"/>
      <c r="B39" s="6" t="s">
        <v>69</v>
      </c>
      <c r="C39" s="7">
        <f>D39+'4月'!C39</f>
        <v>17119</v>
      </c>
      <c r="D39" s="7">
        <f t="shared" si="9"/>
        <v>4781</v>
      </c>
      <c r="E39" s="7">
        <v>17</v>
      </c>
      <c r="F39" s="7">
        <v>45</v>
      </c>
      <c r="G39" s="7">
        <v>37</v>
      </c>
      <c r="H39" s="7">
        <v>218</v>
      </c>
      <c r="I39" s="7">
        <v>259</v>
      </c>
      <c r="J39" s="7">
        <v>142</v>
      </c>
      <c r="K39" s="7">
        <v>312</v>
      </c>
      <c r="L39" s="7">
        <v>174</v>
      </c>
      <c r="M39" s="7">
        <v>173</v>
      </c>
      <c r="N39" s="7">
        <v>175</v>
      </c>
      <c r="O39" s="7">
        <v>51</v>
      </c>
      <c r="P39" s="7">
        <v>243</v>
      </c>
      <c r="Q39" s="7">
        <v>202</v>
      </c>
      <c r="R39" s="7">
        <v>168</v>
      </c>
      <c r="S39" s="7">
        <v>84</v>
      </c>
      <c r="T39" s="7">
        <v>122</v>
      </c>
      <c r="U39" s="7">
        <v>248</v>
      </c>
      <c r="V39" s="7">
        <v>206</v>
      </c>
      <c r="W39" s="7">
        <v>36</v>
      </c>
      <c r="X39" s="7">
        <v>197</v>
      </c>
      <c r="Y39" s="7">
        <v>32</v>
      </c>
      <c r="Z39" s="7">
        <v>227</v>
      </c>
      <c r="AA39" s="7">
        <v>194</v>
      </c>
      <c r="AB39" s="7">
        <v>259</v>
      </c>
      <c r="AC39" s="7">
        <v>64</v>
      </c>
      <c r="AD39" s="7">
        <v>101</v>
      </c>
      <c r="AE39" s="7">
        <v>95</v>
      </c>
      <c r="AF39" s="7">
        <v>122</v>
      </c>
      <c r="AG39" s="7">
        <v>241</v>
      </c>
      <c r="AH39" s="7">
        <v>231</v>
      </c>
      <c r="AI39" s="7">
        <v>106</v>
      </c>
    </row>
    <row r="40" spans="1:35" s="3" customFormat="1" ht="24.95" customHeight="1">
      <c r="A40" s="60" t="s">
        <v>70</v>
      </c>
      <c r="B40" s="6" t="s">
        <v>71</v>
      </c>
      <c r="C40" s="7">
        <f>D40+'4月'!C40</f>
        <v>349.87</v>
      </c>
      <c r="D40" s="7">
        <f t="shared" si="9"/>
        <v>77.192000000000078</v>
      </c>
      <c r="E40" s="34">
        <v>2.2000000000000002</v>
      </c>
      <c r="F40" s="34">
        <v>2.2999999999999998</v>
      </c>
      <c r="G40" s="34">
        <v>2.48</v>
      </c>
      <c r="H40" s="34">
        <v>2.2999999999999998</v>
      </c>
      <c r="I40" s="34">
        <v>2.6</v>
      </c>
      <c r="J40" s="34">
        <v>2.5</v>
      </c>
      <c r="K40" s="34">
        <v>2.2000000000000002</v>
      </c>
      <c r="L40" s="34">
        <v>2.2999999999999998</v>
      </c>
      <c r="M40" s="34">
        <v>2.2999999999999998</v>
      </c>
      <c r="N40" s="34">
        <v>2.4</v>
      </c>
      <c r="O40" s="35">
        <v>2.30000000000007</v>
      </c>
      <c r="P40" s="35">
        <v>2.6</v>
      </c>
      <c r="Q40" s="35">
        <v>2.5</v>
      </c>
      <c r="R40" s="35">
        <v>2.4</v>
      </c>
      <c r="S40" s="35">
        <v>2.6</v>
      </c>
      <c r="T40" s="35">
        <v>2.6</v>
      </c>
      <c r="U40" s="35">
        <v>2.48</v>
      </c>
      <c r="V40" s="35">
        <v>2.48</v>
      </c>
      <c r="W40" s="35">
        <v>2.2999999999999998</v>
      </c>
      <c r="X40" s="35">
        <v>2.76</v>
      </c>
      <c r="Y40" s="34">
        <v>2.484</v>
      </c>
      <c r="Z40" s="34">
        <v>2.484</v>
      </c>
      <c r="AA40" s="34">
        <v>2.484</v>
      </c>
      <c r="AB40" s="34">
        <v>2.57</v>
      </c>
      <c r="AC40" s="34">
        <v>2.39</v>
      </c>
      <c r="AD40" s="34">
        <v>2.57</v>
      </c>
      <c r="AE40" s="34">
        <v>2.57</v>
      </c>
      <c r="AF40" s="34">
        <v>2.76</v>
      </c>
      <c r="AG40" s="34">
        <v>2.8</v>
      </c>
      <c r="AH40" s="34">
        <v>3</v>
      </c>
      <c r="AI40" s="34">
        <v>2.48</v>
      </c>
    </row>
    <row r="41" spans="1:35" s="3" customFormat="1" ht="24.95" customHeight="1">
      <c r="A41" s="60"/>
      <c r="B41" s="6" t="s">
        <v>72</v>
      </c>
      <c r="C41" s="7">
        <f>D41+'4月'!C41</f>
        <v>1566.5000000000007</v>
      </c>
      <c r="D41" s="7">
        <f t="shared" si="9"/>
        <v>274.30000000000092</v>
      </c>
      <c r="E41" s="35">
        <v>10.9</v>
      </c>
      <c r="F41" s="35">
        <v>10.3</v>
      </c>
      <c r="G41" s="35">
        <v>10.3</v>
      </c>
      <c r="H41" s="35">
        <v>9.3000000000000007</v>
      </c>
      <c r="I41" s="35">
        <v>8.6</v>
      </c>
      <c r="J41" s="35">
        <v>10.3</v>
      </c>
      <c r="K41" s="35">
        <v>10.4</v>
      </c>
      <c r="L41" s="35">
        <v>9.3000000000000007</v>
      </c>
      <c r="M41" s="35">
        <v>10.3</v>
      </c>
      <c r="N41" s="35">
        <v>10.9</v>
      </c>
      <c r="O41" s="34">
        <v>10.200000000000299</v>
      </c>
      <c r="P41" s="34">
        <v>10.3</v>
      </c>
      <c r="Q41" s="34">
        <v>11.7</v>
      </c>
      <c r="R41" s="34">
        <v>9.9</v>
      </c>
      <c r="S41" s="34">
        <v>8.8000000000000007</v>
      </c>
      <c r="T41" s="34">
        <v>8.6999999999999993</v>
      </c>
      <c r="U41" s="34">
        <v>11.8</v>
      </c>
      <c r="V41" s="34">
        <v>8.5</v>
      </c>
      <c r="W41" s="34">
        <v>8.8999999999996398</v>
      </c>
      <c r="X41" s="34">
        <v>8.1999999999999993</v>
      </c>
      <c r="Y41" s="34">
        <v>8.9</v>
      </c>
      <c r="Z41" s="34">
        <v>8.9</v>
      </c>
      <c r="AA41" s="34">
        <v>7.7</v>
      </c>
      <c r="AB41" s="34">
        <v>6</v>
      </c>
      <c r="AC41" s="34">
        <v>6.4</v>
      </c>
      <c r="AD41" s="34">
        <v>7.5</v>
      </c>
      <c r="AE41" s="34">
        <v>5.9000000000005501</v>
      </c>
      <c r="AF41" s="34">
        <v>6.0000000000004503</v>
      </c>
      <c r="AG41" s="34">
        <v>5</v>
      </c>
      <c r="AH41" s="34">
        <v>6.4</v>
      </c>
      <c r="AI41" s="34">
        <v>8</v>
      </c>
    </row>
    <row r="42" spans="1:35" s="3" customFormat="1" ht="24.95" customHeight="1">
      <c r="A42" s="60"/>
      <c r="B42" s="6" t="s">
        <v>73</v>
      </c>
      <c r="C42" s="7">
        <f>D42+'4月'!C42</f>
        <v>106.70000000000003</v>
      </c>
      <c r="D42" s="7">
        <f t="shared" si="9"/>
        <v>23.500000000000039</v>
      </c>
      <c r="E42" s="35">
        <v>0.8</v>
      </c>
      <c r="F42" s="35">
        <v>0.8</v>
      </c>
      <c r="G42" s="35">
        <v>0.8</v>
      </c>
      <c r="H42" s="35">
        <v>0.7</v>
      </c>
      <c r="I42" s="35">
        <v>0.7</v>
      </c>
      <c r="J42" s="35">
        <v>0.8</v>
      </c>
      <c r="K42" s="35">
        <v>0.8</v>
      </c>
      <c r="L42" s="35">
        <v>0.7</v>
      </c>
      <c r="M42" s="35">
        <v>0.9</v>
      </c>
      <c r="N42" s="35">
        <v>0.8</v>
      </c>
      <c r="O42" s="34">
        <v>0.80000000000001104</v>
      </c>
      <c r="P42" s="34">
        <v>0.8</v>
      </c>
      <c r="Q42" s="34">
        <v>0.8</v>
      </c>
      <c r="R42" s="34">
        <v>0.8</v>
      </c>
      <c r="S42" s="34">
        <v>0.8</v>
      </c>
      <c r="T42" s="34">
        <v>0.8</v>
      </c>
      <c r="U42" s="34">
        <v>0.8</v>
      </c>
      <c r="V42" s="34">
        <v>0.80000000000001104</v>
      </c>
      <c r="W42" s="34">
        <v>0.7</v>
      </c>
      <c r="X42" s="34">
        <v>0.7</v>
      </c>
      <c r="Y42" s="34">
        <v>0.7</v>
      </c>
      <c r="Z42" s="34">
        <v>0.8</v>
      </c>
      <c r="AA42" s="34">
        <v>0.7</v>
      </c>
      <c r="AB42" s="34">
        <v>0.7</v>
      </c>
      <c r="AC42" s="34">
        <v>0.8</v>
      </c>
      <c r="AD42" s="34">
        <v>0.7</v>
      </c>
      <c r="AE42" s="34">
        <v>0.70000000000001705</v>
      </c>
      <c r="AF42" s="34">
        <v>0.7</v>
      </c>
      <c r="AG42" s="34">
        <v>0.7</v>
      </c>
      <c r="AH42" s="34">
        <v>0.7</v>
      </c>
      <c r="AI42" s="34">
        <v>0.7</v>
      </c>
    </row>
    <row r="43" spans="1:35" s="1" customFormat="1" ht="18" customHeight="1">
      <c r="B43" s="20" t="s">
        <v>74</v>
      </c>
      <c r="C43" s="21">
        <f>C37/C5</f>
        <v>0.24795006113943949</v>
      </c>
      <c r="D43" s="21">
        <f>D37/D5</f>
        <v>0.2654940834925768</v>
      </c>
      <c r="G43" s="22"/>
    </row>
    <row r="44" spans="1:35" s="1" customFormat="1" ht="18" customHeight="1">
      <c r="B44" s="23" t="s">
        <v>75</v>
      </c>
      <c r="C44" s="24">
        <f>C38/C5</f>
        <v>2.5003223337797482E-2</v>
      </c>
      <c r="D44" s="24">
        <f>D38/D5</f>
        <v>2.3890195501984419E-2</v>
      </c>
      <c r="G44" s="22"/>
    </row>
    <row r="45" spans="1:35" s="1" customFormat="1" ht="18" customHeight="1">
      <c r="B45" s="23" t="s">
        <v>76</v>
      </c>
      <c r="C45" s="24">
        <f>C39/C5</f>
        <v>8.9000515734047589E-2</v>
      </c>
      <c r="D45" s="24">
        <f>D39/D5</f>
        <v>0.10980909157724532</v>
      </c>
      <c r="G45" s="22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</sheetData>
  <mergeCells count="10">
    <mergeCell ref="A16:A18"/>
    <mergeCell ref="A40:A42"/>
    <mergeCell ref="A1:B1"/>
    <mergeCell ref="C1:AI1"/>
    <mergeCell ref="A3:A5"/>
    <mergeCell ref="A6:A8"/>
    <mergeCell ref="A9:A12"/>
    <mergeCell ref="A13:A15"/>
    <mergeCell ref="A20:A36"/>
    <mergeCell ref="A37:A39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AI68"/>
  <sheetViews>
    <sheetView topLeftCell="A16" workbookViewId="0">
      <pane xSplit="4" topLeftCell="K1" activePane="topRight" state="frozen"/>
      <selection pane="topRight" activeCell="A37" sqref="A37:A39"/>
    </sheetView>
  </sheetViews>
  <sheetFormatPr defaultColWidth="9" defaultRowHeight="13.5"/>
  <cols>
    <col min="1" max="1" width="8.75" style="4" customWidth="1"/>
    <col min="2" max="2" width="13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8.375" style="4" customWidth="1"/>
    <col min="35" max="35" width="9" style="4" hidden="1" customWidth="1"/>
    <col min="36" max="16384" width="9" style="4"/>
  </cols>
  <sheetData>
    <row r="1" spans="1:35" s="1" customFormat="1" ht="42.75" customHeight="1">
      <c r="A1" s="57">
        <v>44348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D3+'5月'!C3</f>
        <v>112290.90000000002</v>
      </c>
      <c r="D3" s="7">
        <f t="shared" ref="D3:D9" si="0">SUM(E3:AI3)</f>
        <v>19641.599999999999</v>
      </c>
      <c r="E3" s="7">
        <v>721.6</v>
      </c>
      <c r="F3" s="7">
        <v>666.1</v>
      </c>
      <c r="G3" s="7">
        <v>703.4</v>
      </c>
      <c r="H3" s="7">
        <v>677.5</v>
      </c>
      <c r="I3" s="7">
        <v>673.7</v>
      </c>
      <c r="J3" s="7">
        <v>707.1</v>
      </c>
      <c r="K3" s="7">
        <v>697.2</v>
      </c>
      <c r="L3" s="7">
        <v>682.7</v>
      </c>
      <c r="M3" s="7">
        <v>681</v>
      </c>
      <c r="N3" s="7">
        <v>648.29999999999995</v>
      </c>
      <c r="O3" s="7">
        <v>655.5</v>
      </c>
      <c r="P3" s="7">
        <v>712.7</v>
      </c>
      <c r="Q3" s="7">
        <v>677.9</v>
      </c>
      <c r="R3" s="7">
        <v>684.7</v>
      </c>
      <c r="S3" s="7">
        <v>622.29999999999995</v>
      </c>
      <c r="T3" s="7">
        <v>612.4</v>
      </c>
      <c r="U3" s="7">
        <v>599</v>
      </c>
      <c r="V3" s="7">
        <v>647</v>
      </c>
      <c r="W3" s="7">
        <v>628</v>
      </c>
      <c r="X3" s="7">
        <v>613.20000000000005</v>
      </c>
      <c r="Y3" s="7">
        <v>648.29999999999995</v>
      </c>
      <c r="Z3" s="7">
        <v>644.1</v>
      </c>
      <c r="AA3" s="7">
        <v>643.4</v>
      </c>
      <c r="AB3" s="7">
        <v>612.5</v>
      </c>
      <c r="AC3" s="7">
        <v>644.20000000000005</v>
      </c>
      <c r="AD3" s="7">
        <v>601.29999999999995</v>
      </c>
      <c r="AE3" s="7">
        <v>629.70000000000005</v>
      </c>
      <c r="AF3" s="7">
        <v>599.79999999999995</v>
      </c>
      <c r="AG3" s="7">
        <v>662.1</v>
      </c>
      <c r="AH3" s="7">
        <v>644.9</v>
      </c>
      <c r="AI3" s="29"/>
    </row>
    <row r="4" spans="1:35" s="3" customFormat="1" ht="26.25" customHeight="1">
      <c r="A4" s="51"/>
      <c r="B4" s="7" t="s">
        <v>37</v>
      </c>
      <c r="C4" s="7">
        <f>D4+'5月'!C4</f>
        <v>120301.5</v>
      </c>
      <c r="D4" s="7">
        <f t="shared" si="0"/>
        <v>20603.599999999999</v>
      </c>
      <c r="E4" s="7">
        <v>744.6</v>
      </c>
      <c r="F4" s="7">
        <v>726.4</v>
      </c>
      <c r="G4" s="7">
        <v>706</v>
      </c>
      <c r="H4" s="7">
        <v>740.8</v>
      </c>
      <c r="I4" s="7">
        <v>766.6</v>
      </c>
      <c r="J4" s="7">
        <v>766.4</v>
      </c>
      <c r="K4" s="7">
        <v>727.5</v>
      </c>
      <c r="L4" s="7">
        <v>730.8</v>
      </c>
      <c r="M4" s="7">
        <v>730.7</v>
      </c>
      <c r="N4" s="7">
        <v>710.1</v>
      </c>
      <c r="O4" s="7">
        <v>221</v>
      </c>
      <c r="P4" s="7">
        <v>510.8</v>
      </c>
      <c r="Q4" s="7">
        <v>772.4</v>
      </c>
      <c r="R4" s="7">
        <v>773</v>
      </c>
      <c r="S4" s="7">
        <v>696.4</v>
      </c>
      <c r="T4" s="7">
        <v>721.5</v>
      </c>
      <c r="U4" s="7">
        <v>670.8</v>
      </c>
      <c r="V4" s="7">
        <v>735</v>
      </c>
      <c r="W4" s="7">
        <v>654.70000000000005</v>
      </c>
      <c r="X4" s="7">
        <v>681.1</v>
      </c>
      <c r="Y4" s="7">
        <v>695</v>
      </c>
      <c r="Z4" s="7">
        <v>663.9</v>
      </c>
      <c r="AA4" s="7">
        <v>683.6</v>
      </c>
      <c r="AB4" s="7">
        <v>708.1</v>
      </c>
      <c r="AC4" s="7">
        <v>666.4</v>
      </c>
      <c r="AD4" s="7">
        <v>668.2</v>
      </c>
      <c r="AE4" s="7">
        <v>659.1</v>
      </c>
      <c r="AF4" s="7">
        <v>663.1</v>
      </c>
      <c r="AG4" s="29">
        <v>715.8</v>
      </c>
      <c r="AH4" s="7">
        <v>693.8</v>
      </c>
      <c r="AI4" s="7"/>
    </row>
    <row r="5" spans="1:35" s="3" customFormat="1" ht="24.95" customHeight="1">
      <c r="A5" s="51"/>
      <c r="B5" s="7" t="s">
        <v>38</v>
      </c>
      <c r="C5" s="7">
        <f>D5+'5月'!C5</f>
        <v>232592.40000000002</v>
      </c>
      <c r="D5" s="7">
        <f t="shared" si="0"/>
        <v>40245.200000000004</v>
      </c>
      <c r="E5" s="7">
        <f>E3+E4</f>
        <v>1466.2</v>
      </c>
      <c r="F5" s="7">
        <f t="shared" ref="F5:AI5" si="1">F3+F4</f>
        <v>1392.5</v>
      </c>
      <c r="G5" s="7">
        <f t="shared" si="1"/>
        <v>1409.4</v>
      </c>
      <c r="H5" s="7">
        <f t="shared" si="1"/>
        <v>1418.3</v>
      </c>
      <c r="I5" s="7">
        <f t="shared" si="1"/>
        <v>1440.3000000000002</v>
      </c>
      <c r="J5" s="7">
        <f t="shared" si="1"/>
        <v>1473.5</v>
      </c>
      <c r="K5" s="7">
        <f t="shared" si="1"/>
        <v>1424.7</v>
      </c>
      <c r="L5" s="7">
        <f t="shared" si="1"/>
        <v>1413.5</v>
      </c>
      <c r="M5" s="7">
        <f t="shared" si="1"/>
        <v>1411.7</v>
      </c>
      <c r="N5" s="7">
        <f t="shared" si="1"/>
        <v>1358.4</v>
      </c>
      <c r="O5" s="7">
        <f t="shared" si="1"/>
        <v>876.5</v>
      </c>
      <c r="P5" s="7">
        <f t="shared" si="1"/>
        <v>1223.5</v>
      </c>
      <c r="Q5" s="7">
        <f t="shared" si="1"/>
        <v>1450.3</v>
      </c>
      <c r="R5" s="7">
        <f t="shared" si="1"/>
        <v>1457.7</v>
      </c>
      <c r="S5" s="7">
        <f t="shared" si="1"/>
        <v>1318.6999999999998</v>
      </c>
      <c r="T5" s="7">
        <f t="shared" si="1"/>
        <v>1333.9</v>
      </c>
      <c r="U5" s="7">
        <f t="shared" si="1"/>
        <v>1269.8</v>
      </c>
      <c r="V5" s="7">
        <f t="shared" si="1"/>
        <v>1382</v>
      </c>
      <c r="W5" s="7">
        <f t="shared" si="1"/>
        <v>1282.7</v>
      </c>
      <c r="X5" s="7">
        <f t="shared" si="1"/>
        <v>1294.3000000000002</v>
      </c>
      <c r="Y5" s="7">
        <f t="shared" si="1"/>
        <v>1343.3</v>
      </c>
      <c r="Z5" s="7">
        <f t="shared" si="1"/>
        <v>1308</v>
      </c>
      <c r="AA5" s="7">
        <f t="shared" si="1"/>
        <v>1327</v>
      </c>
      <c r="AB5" s="7">
        <f t="shared" si="1"/>
        <v>1320.6</v>
      </c>
      <c r="AC5" s="7">
        <f t="shared" si="1"/>
        <v>1310.5999999999999</v>
      </c>
      <c r="AD5" s="7">
        <f t="shared" si="1"/>
        <v>1269.5</v>
      </c>
      <c r="AE5" s="7">
        <f t="shared" si="1"/>
        <v>1288.8000000000002</v>
      </c>
      <c r="AF5" s="7">
        <f t="shared" si="1"/>
        <v>1262.9000000000001</v>
      </c>
      <c r="AG5" s="7">
        <f t="shared" si="1"/>
        <v>1377.9</v>
      </c>
      <c r="AH5" s="7">
        <f t="shared" si="1"/>
        <v>1338.6999999999998</v>
      </c>
      <c r="AI5" s="7">
        <f t="shared" si="1"/>
        <v>0</v>
      </c>
    </row>
    <row r="6" spans="1:35" s="3" customFormat="1" ht="24.95" customHeight="1">
      <c r="A6" s="51" t="s">
        <v>39</v>
      </c>
      <c r="B6" s="7" t="s">
        <v>40</v>
      </c>
      <c r="C6" s="7">
        <f>D6+'5月'!C6</f>
        <v>54930000</v>
      </c>
      <c r="D6" s="7">
        <f t="shared" si="0"/>
        <v>9986000</v>
      </c>
      <c r="E6" s="7">
        <v>344000</v>
      </c>
      <c r="F6" s="7">
        <v>346000</v>
      </c>
      <c r="G6" s="7">
        <v>340000</v>
      </c>
      <c r="H6" s="7">
        <v>342000</v>
      </c>
      <c r="I6" s="7">
        <v>344000</v>
      </c>
      <c r="J6" s="7">
        <v>338000</v>
      </c>
      <c r="K6" s="7">
        <v>336000</v>
      </c>
      <c r="L6" s="7">
        <v>340000</v>
      </c>
      <c r="M6" s="7">
        <v>336000</v>
      </c>
      <c r="N6" s="7">
        <v>336000</v>
      </c>
      <c r="O6" s="7">
        <v>236000</v>
      </c>
      <c r="P6" s="26">
        <v>250000</v>
      </c>
      <c r="Q6" s="7">
        <v>358000</v>
      </c>
      <c r="R6" s="7">
        <v>354000</v>
      </c>
      <c r="S6" s="7">
        <v>342000</v>
      </c>
      <c r="T6" s="7">
        <v>356000</v>
      </c>
      <c r="U6" s="26">
        <v>332000</v>
      </c>
      <c r="V6" s="26">
        <v>342000</v>
      </c>
      <c r="W6" s="7">
        <v>334000</v>
      </c>
      <c r="X6" s="7">
        <v>330000</v>
      </c>
      <c r="Y6" s="7">
        <v>338000</v>
      </c>
      <c r="Z6" s="7">
        <v>336000</v>
      </c>
      <c r="AA6" s="7">
        <v>330000</v>
      </c>
      <c r="AB6" s="7">
        <v>334000</v>
      </c>
      <c r="AC6" s="7">
        <v>338000</v>
      </c>
      <c r="AD6" s="7">
        <v>336000</v>
      </c>
      <c r="AE6" s="7">
        <v>334000</v>
      </c>
      <c r="AF6" s="7">
        <v>336000</v>
      </c>
      <c r="AG6" s="7">
        <v>332000</v>
      </c>
      <c r="AH6" s="7">
        <v>336000</v>
      </c>
      <c r="AI6" s="7"/>
    </row>
    <row r="7" spans="1:35" s="3" customFormat="1" ht="24.95" customHeight="1">
      <c r="A7" s="51"/>
      <c r="B7" s="7" t="s">
        <v>41</v>
      </c>
      <c r="C7" s="7">
        <f>D7+'5月'!C7</f>
        <v>62424000</v>
      </c>
      <c r="D7" s="7">
        <f t="shared" si="0"/>
        <v>10226000</v>
      </c>
      <c r="E7" s="7">
        <v>342000</v>
      </c>
      <c r="F7" s="7">
        <v>344000</v>
      </c>
      <c r="G7" s="7">
        <v>338000</v>
      </c>
      <c r="H7" s="7">
        <v>330000</v>
      </c>
      <c r="I7" s="7">
        <v>348000</v>
      </c>
      <c r="J7" s="7">
        <v>344000</v>
      </c>
      <c r="K7" s="7">
        <v>340000</v>
      </c>
      <c r="L7" s="7">
        <v>344000</v>
      </c>
      <c r="M7" s="7">
        <v>342000</v>
      </c>
      <c r="N7" s="7">
        <v>340000</v>
      </c>
      <c r="O7" s="7">
        <v>272000</v>
      </c>
      <c r="P7" s="26">
        <v>284000</v>
      </c>
      <c r="Q7" s="7">
        <v>356000</v>
      </c>
      <c r="R7" s="7">
        <v>358000</v>
      </c>
      <c r="S7" s="7">
        <v>354000</v>
      </c>
      <c r="T7" s="7">
        <v>362000</v>
      </c>
      <c r="U7" s="7">
        <v>348000</v>
      </c>
      <c r="V7" s="7">
        <v>340000</v>
      </c>
      <c r="W7" s="7">
        <v>344000</v>
      </c>
      <c r="X7" s="7">
        <v>340000</v>
      </c>
      <c r="Y7" s="7">
        <v>338000</v>
      </c>
      <c r="Z7" s="7">
        <v>354000</v>
      </c>
      <c r="AA7" s="7">
        <v>344000</v>
      </c>
      <c r="AB7" s="7">
        <v>346000</v>
      </c>
      <c r="AC7" s="7">
        <v>350000</v>
      </c>
      <c r="AD7" s="7">
        <v>340000</v>
      </c>
      <c r="AE7" s="7">
        <v>348000</v>
      </c>
      <c r="AF7" s="7">
        <v>356000</v>
      </c>
      <c r="AG7" s="7">
        <v>346000</v>
      </c>
      <c r="AH7" s="7">
        <v>334000</v>
      </c>
      <c r="AI7" s="26"/>
    </row>
    <row r="8" spans="1:35" s="3" customFormat="1" ht="24.95" customHeight="1">
      <c r="A8" s="51"/>
      <c r="B8" s="7" t="s">
        <v>38</v>
      </c>
      <c r="C8" s="7">
        <f>D8+'5月'!C8</f>
        <v>117354000</v>
      </c>
      <c r="D8" s="7">
        <f t="shared" si="0"/>
        <v>20212000</v>
      </c>
      <c r="E8" s="7">
        <f>E6+E7</f>
        <v>686000</v>
      </c>
      <c r="F8" s="7">
        <f t="shared" ref="F8:AI8" si="2">F6+F7</f>
        <v>690000</v>
      </c>
      <c r="G8" s="7">
        <f t="shared" si="2"/>
        <v>678000</v>
      </c>
      <c r="H8" s="7">
        <f t="shared" si="2"/>
        <v>672000</v>
      </c>
      <c r="I8" s="7">
        <f t="shared" si="2"/>
        <v>692000</v>
      </c>
      <c r="J8" s="7">
        <f t="shared" si="2"/>
        <v>682000</v>
      </c>
      <c r="K8" s="7">
        <f t="shared" si="2"/>
        <v>676000</v>
      </c>
      <c r="L8" s="7">
        <f t="shared" si="2"/>
        <v>684000</v>
      </c>
      <c r="M8" s="7">
        <f t="shared" si="2"/>
        <v>678000</v>
      </c>
      <c r="N8" s="7">
        <f t="shared" si="2"/>
        <v>676000</v>
      </c>
      <c r="O8" s="7">
        <f t="shared" si="2"/>
        <v>508000</v>
      </c>
      <c r="P8" s="7">
        <f t="shared" si="2"/>
        <v>534000</v>
      </c>
      <c r="Q8" s="7">
        <f t="shared" si="2"/>
        <v>714000</v>
      </c>
      <c r="R8" s="7">
        <f t="shared" si="2"/>
        <v>712000</v>
      </c>
      <c r="S8" s="7">
        <f t="shared" si="2"/>
        <v>696000</v>
      </c>
      <c r="T8" s="7">
        <f t="shared" si="2"/>
        <v>718000</v>
      </c>
      <c r="U8" s="7">
        <f t="shared" si="2"/>
        <v>680000</v>
      </c>
      <c r="V8" s="7">
        <f t="shared" si="2"/>
        <v>682000</v>
      </c>
      <c r="W8" s="7">
        <f t="shared" si="2"/>
        <v>678000</v>
      </c>
      <c r="X8" s="7">
        <f t="shared" si="2"/>
        <v>670000</v>
      </c>
      <c r="Y8" s="7">
        <f t="shared" si="2"/>
        <v>676000</v>
      </c>
      <c r="Z8" s="7">
        <f t="shared" si="2"/>
        <v>690000</v>
      </c>
      <c r="AA8" s="7">
        <f t="shared" si="2"/>
        <v>674000</v>
      </c>
      <c r="AB8" s="7">
        <f t="shared" si="2"/>
        <v>680000</v>
      </c>
      <c r="AC8" s="7">
        <f t="shared" si="2"/>
        <v>688000</v>
      </c>
      <c r="AD8" s="7">
        <f t="shared" si="2"/>
        <v>676000</v>
      </c>
      <c r="AE8" s="7">
        <f t="shared" si="2"/>
        <v>682000</v>
      </c>
      <c r="AF8" s="7">
        <f t="shared" si="2"/>
        <v>692000</v>
      </c>
      <c r="AG8" s="7">
        <f t="shared" si="2"/>
        <v>678000</v>
      </c>
      <c r="AH8" s="7">
        <f t="shared" si="2"/>
        <v>670000</v>
      </c>
      <c r="AI8" s="7">
        <f t="shared" si="2"/>
        <v>0</v>
      </c>
    </row>
    <row r="9" spans="1:35" s="3" customFormat="1" ht="24.95" customHeight="1">
      <c r="A9" s="51" t="s">
        <v>42</v>
      </c>
      <c r="B9" s="7" t="s">
        <v>38</v>
      </c>
      <c r="C9" s="7">
        <f>D9+'5月'!C9</f>
        <v>101408000</v>
      </c>
      <c r="D9" s="7">
        <f t="shared" si="0"/>
        <v>17312000</v>
      </c>
      <c r="E9" s="7">
        <v>588000</v>
      </c>
      <c r="F9" s="7">
        <v>594000</v>
      </c>
      <c r="G9" s="7">
        <v>578000</v>
      </c>
      <c r="H9" s="7">
        <v>576000</v>
      </c>
      <c r="I9" s="7">
        <v>590000</v>
      </c>
      <c r="J9" s="7">
        <v>588000</v>
      </c>
      <c r="K9" s="7">
        <v>582000</v>
      </c>
      <c r="L9" s="7">
        <v>584000</v>
      </c>
      <c r="M9" s="7">
        <v>584000</v>
      </c>
      <c r="N9" s="7">
        <v>580000</v>
      </c>
      <c r="O9" s="7">
        <v>428000</v>
      </c>
      <c r="P9" s="7">
        <v>446000</v>
      </c>
      <c r="Q9" s="7">
        <v>616000</v>
      </c>
      <c r="R9" s="7">
        <v>616000</v>
      </c>
      <c r="S9" s="7">
        <v>596000</v>
      </c>
      <c r="T9" s="7">
        <v>616000</v>
      </c>
      <c r="U9" s="7">
        <v>586000</v>
      </c>
      <c r="V9" s="7">
        <v>588000</v>
      </c>
      <c r="W9" s="7">
        <v>578000</v>
      </c>
      <c r="X9" s="7">
        <v>570000</v>
      </c>
      <c r="Y9" s="7">
        <v>580000</v>
      </c>
      <c r="Z9" s="7">
        <v>590000</v>
      </c>
      <c r="AA9" s="7">
        <v>578000</v>
      </c>
      <c r="AB9" s="7">
        <v>582000</v>
      </c>
      <c r="AC9" s="7">
        <v>590000</v>
      </c>
      <c r="AD9" s="7">
        <v>580000</v>
      </c>
      <c r="AE9" s="7">
        <v>584000</v>
      </c>
      <c r="AF9" s="7">
        <v>596000</v>
      </c>
      <c r="AG9" s="7">
        <v>576000</v>
      </c>
      <c r="AH9" s="7">
        <v>572000</v>
      </c>
      <c r="AI9" s="7"/>
    </row>
    <row r="10" spans="1:35" s="3" customFormat="1" ht="24.95" customHeight="1">
      <c r="A10" s="51"/>
      <c r="B10" s="6" t="s">
        <v>43</v>
      </c>
      <c r="C10" s="8">
        <f>C8/C5</f>
        <v>504.54787000779038</v>
      </c>
      <c r="D10" s="8">
        <f>D8/D5</f>
        <v>502.22138292268392</v>
      </c>
      <c r="E10" s="8">
        <f t="shared" ref="E10:AI10" si="3">E8/E5</f>
        <v>467.87614240894828</v>
      </c>
      <c r="F10" s="8">
        <f t="shared" si="3"/>
        <v>495.51166965888689</v>
      </c>
      <c r="G10" s="8">
        <f t="shared" si="3"/>
        <v>481.05576841209023</v>
      </c>
      <c r="H10" s="8">
        <f t="shared" si="3"/>
        <v>473.80666995699079</v>
      </c>
      <c r="I10" s="8">
        <f t="shared" si="3"/>
        <v>480.45546066791633</v>
      </c>
      <c r="J10" s="8">
        <f t="shared" si="3"/>
        <v>462.84356973193076</v>
      </c>
      <c r="K10" s="8">
        <f t="shared" si="3"/>
        <v>474.48585667157994</v>
      </c>
      <c r="L10" s="8">
        <f t="shared" si="3"/>
        <v>483.90519985850727</v>
      </c>
      <c r="M10" s="8">
        <f t="shared" si="3"/>
        <v>480.27201246723808</v>
      </c>
      <c r="N10" s="8">
        <f t="shared" si="3"/>
        <v>497.64428739693756</v>
      </c>
      <c r="O10" s="8">
        <f t="shared" si="3"/>
        <v>579.57786651454649</v>
      </c>
      <c r="P10" s="8">
        <f t="shared" si="3"/>
        <v>436.45279934613814</v>
      </c>
      <c r="Q10" s="8">
        <f t="shared" si="3"/>
        <v>492.31193546162865</v>
      </c>
      <c r="R10" s="8">
        <f t="shared" si="3"/>
        <v>488.44069424435753</v>
      </c>
      <c r="S10" s="8">
        <f t="shared" si="3"/>
        <v>527.79252293925845</v>
      </c>
      <c r="T10" s="8">
        <f t="shared" si="3"/>
        <v>538.2712347252417</v>
      </c>
      <c r="U10" s="8">
        <f t="shared" si="3"/>
        <v>535.51740431564031</v>
      </c>
      <c r="V10" s="8">
        <f t="shared" si="3"/>
        <v>493.48769898697537</v>
      </c>
      <c r="W10" s="8">
        <f t="shared" si="3"/>
        <v>528.57254229359944</v>
      </c>
      <c r="X10" s="8">
        <f t="shared" si="3"/>
        <v>517.6543305261531</v>
      </c>
      <c r="Y10" s="8">
        <f t="shared" si="3"/>
        <v>503.23829375418745</v>
      </c>
      <c r="Z10" s="8">
        <f t="shared" si="3"/>
        <v>527.52293577981652</v>
      </c>
      <c r="AA10" s="8">
        <f t="shared" si="3"/>
        <v>507.91258477769406</v>
      </c>
      <c r="AB10" s="8">
        <f t="shared" si="3"/>
        <v>514.9174617598062</v>
      </c>
      <c r="AC10" s="8">
        <f t="shared" si="3"/>
        <v>524.95040439493368</v>
      </c>
      <c r="AD10" s="8">
        <f t="shared" si="3"/>
        <v>532.49310752264671</v>
      </c>
      <c r="AE10" s="8">
        <f t="shared" si="3"/>
        <v>529.17442582247043</v>
      </c>
      <c r="AF10" s="8">
        <f t="shared" si="3"/>
        <v>547.94520547945206</v>
      </c>
      <c r="AG10" s="8">
        <f t="shared" si="3"/>
        <v>492.05312431961676</v>
      </c>
      <c r="AH10" s="8">
        <f t="shared" si="3"/>
        <v>500.48554567864352</v>
      </c>
      <c r="AI10" s="8" t="e">
        <f t="shared" si="3"/>
        <v>#DIV/0!</v>
      </c>
    </row>
    <row r="11" spans="1:35" s="3" customFormat="1" ht="24.95" customHeight="1">
      <c r="A11" s="51"/>
      <c r="B11" s="9" t="s">
        <v>44</v>
      </c>
      <c r="C11" s="8">
        <f>(C8-C16)/C5</f>
        <v>435.98157119493152</v>
      </c>
      <c r="D11" s="8">
        <f>(D8-D16)/D5</f>
        <v>430.1631001957997</v>
      </c>
      <c r="E11" s="8">
        <f>(E8-E16)/E5</f>
        <v>401.03669349338423</v>
      </c>
      <c r="F11" s="8">
        <f>(F8-F16)/F5</f>
        <v>426.57091561938961</v>
      </c>
      <c r="G11" s="8">
        <f>(G8-G16)/G5</f>
        <v>410.10359018021853</v>
      </c>
      <c r="H11" s="8">
        <f>(H8-H16)/H5</f>
        <v>406.12000282027782</v>
      </c>
      <c r="I11" s="8">
        <f>(I8-I16)/I5</f>
        <v>409.63688120530441</v>
      </c>
      <c r="J11" s="8">
        <f>(J8-J16)/J5</f>
        <v>399.04988123515437</v>
      </c>
      <c r="K11" s="8">
        <f>(K8-K16)/K5</f>
        <v>408.50705411665615</v>
      </c>
      <c r="L11" s="8">
        <f>(L8-L16)/L5</f>
        <v>413.15882561018748</v>
      </c>
      <c r="M11" s="8">
        <f>(M8-M16)/M5</f>
        <v>413.685627257916</v>
      </c>
      <c r="N11" s="8">
        <f>(N8-N16)/N5</f>
        <v>426.97290930506477</v>
      </c>
      <c r="O11" s="8">
        <f>(O8-O16)/O5</f>
        <v>488.30576155162578</v>
      </c>
      <c r="P11" s="8">
        <f>(P8-P16)/P5</f>
        <v>364.5279934613813</v>
      </c>
      <c r="Q11" s="8">
        <f>(Q8-Q16)/Q5</f>
        <v>424.73970902571881</v>
      </c>
      <c r="R11" s="8">
        <f>(R8-R16)/R5</f>
        <v>422.58352198669132</v>
      </c>
      <c r="S11" s="8">
        <f>(S8-S16)/S5</f>
        <v>451.96026389626155</v>
      </c>
      <c r="T11" s="8">
        <f>(T8-T16)/T5</f>
        <v>461.80373341329931</v>
      </c>
      <c r="U11" s="8">
        <f>(U8-U16)/U5</f>
        <v>461.48999842494885</v>
      </c>
      <c r="V11" s="8">
        <f>(V8-V16)/V5</f>
        <v>425.47033285094068</v>
      </c>
      <c r="W11" s="8">
        <f>(W8-W16)/W5</f>
        <v>450.61199033289154</v>
      </c>
      <c r="X11" s="8">
        <f>(X8-X16)/X5</f>
        <v>440.3924901491153</v>
      </c>
      <c r="Y11" s="8">
        <f>(Y8-Y16)/Y5</f>
        <v>431.7725005583265</v>
      </c>
      <c r="Z11" s="8">
        <f>(Z8-Z16)/Z5</f>
        <v>451.07033639143731</v>
      </c>
      <c r="AA11" s="8">
        <f>(AA8-AA16)/AA5</f>
        <v>435.56895252449135</v>
      </c>
      <c r="AB11" s="8">
        <f>(AB8-AB16)/AB5</f>
        <v>440.70876874148115</v>
      </c>
      <c r="AC11" s="8">
        <f>(AC8-AC16)/AC5</f>
        <v>450.17549214100416</v>
      </c>
      <c r="AD11" s="8">
        <f>(AD8-AD16)/AD5</f>
        <v>456.87278456085073</v>
      </c>
      <c r="AE11" s="8">
        <f>(AE8-AE16)/AE5</f>
        <v>453.13469894475475</v>
      </c>
      <c r="AF11" s="8">
        <f>(AF8-AF16)/AF5</f>
        <v>471.9296856441523</v>
      </c>
      <c r="AG11" s="8">
        <f>(AG8-AG16)/AG5</f>
        <v>418.02743305029389</v>
      </c>
      <c r="AH11" s="8">
        <f>(AH8-AH16)/AH5</f>
        <v>427.28019720624491</v>
      </c>
      <c r="AI11" s="8" t="e">
        <f>(AI8-AI16)/AI5</f>
        <v>#DIV/0!</v>
      </c>
    </row>
    <row r="12" spans="1:35" s="3" customFormat="1" ht="24.95" customHeight="1">
      <c r="A12" s="51"/>
      <c r="B12" s="6" t="s">
        <v>45</v>
      </c>
      <c r="C12" s="8">
        <f>D12+'5月'!C12</f>
        <v>256784.23599999998</v>
      </c>
      <c r="D12" s="8">
        <f t="shared" ref="D12:D17" si="4">SUM(E12:AI12)</f>
        <v>50509.539999999994</v>
      </c>
      <c r="E12" s="7">
        <v>1520.54</v>
      </c>
      <c r="F12" s="7">
        <v>1617.8</v>
      </c>
      <c r="G12" s="7">
        <v>1473.38</v>
      </c>
      <c r="H12" s="7">
        <v>1406.26</v>
      </c>
      <c r="I12" s="7">
        <v>1608.04</v>
      </c>
      <c r="J12" s="7">
        <v>1960.3</v>
      </c>
      <c r="K12" s="7">
        <v>1720.56</v>
      </c>
      <c r="L12" s="7">
        <v>1539.8</v>
      </c>
      <c r="M12" s="7">
        <v>1556.42</v>
      </c>
      <c r="N12" s="7">
        <v>1635.24</v>
      </c>
      <c r="O12" s="7">
        <v>1585.72</v>
      </c>
      <c r="P12" s="7">
        <v>1445.32</v>
      </c>
      <c r="Q12" s="7">
        <v>1560.92</v>
      </c>
      <c r="R12" s="7">
        <v>1696.22</v>
      </c>
      <c r="S12" s="7">
        <v>1521.28</v>
      </c>
      <c r="T12" s="7">
        <v>1825.7</v>
      </c>
      <c r="U12" s="7">
        <v>2200.3200000000002</v>
      </c>
      <c r="V12" s="7">
        <v>2013.9</v>
      </c>
      <c r="W12" s="7">
        <v>1890.64</v>
      </c>
      <c r="X12" s="7">
        <v>1910.16</v>
      </c>
      <c r="Y12" s="7">
        <v>1770.52</v>
      </c>
      <c r="Z12" s="7">
        <v>1915.5</v>
      </c>
      <c r="AA12" s="7">
        <v>1866.08</v>
      </c>
      <c r="AB12" s="7">
        <v>1558.92</v>
      </c>
      <c r="AC12" s="7">
        <v>1615.1</v>
      </c>
      <c r="AD12" s="12">
        <v>1664.2</v>
      </c>
      <c r="AE12" s="12">
        <v>1515.04</v>
      </c>
      <c r="AF12" s="7">
        <v>1641.92</v>
      </c>
      <c r="AG12" s="7">
        <v>1666.16</v>
      </c>
      <c r="AH12" s="7">
        <v>1607.58</v>
      </c>
      <c r="AI12" s="7"/>
    </row>
    <row r="13" spans="1:35" s="3" customFormat="1" ht="24.95" customHeight="1">
      <c r="A13" s="52" t="s">
        <v>46</v>
      </c>
      <c r="B13" s="6" t="s">
        <v>36</v>
      </c>
      <c r="C13" s="8">
        <f>D13+'5月'!C13</f>
        <v>255636</v>
      </c>
      <c r="D13" s="10">
        <f t="shared" si="4"/>
        <v>44788</v>
      </c>
      <c r="E13" s="7">
        <f>502+501+511</f>
        <v>1514</v>
      </c>
      <c r="F13" s="7">
        <f>507+499+517</f>
        <v>1523</v>
      </c>
      <c r="G13" s="7">
        <f>508+500+496</f>
        <v>1504</v>
      </c>
      <c r="H13" s="7">
        <f>488+499+505</f>
        <v>1492</v>
      </c>
      <c r="I13" s="7">
        <f>508+483+502</f>
        <v>1493</v>
      </c>
      <c r="J13" s="7">
        <f>509+501+491</f>
        <v>1501</v>
      </c>
      <c r="K13" s="7">
        <f>503+490+495</f>
        <v>1488</v>
      </c>
      <c r="L13" s="7">
        <f>502+502+499</f>
        <v>1503</v>
      </c>
      <c r="M13" s="27">
        <f>483+488+506</f>
        <v>1477</v>
      </c>
      <c r="N13" s="7">
        <f>503+495+507</f>
        <v>1505</v>
      </c>
      <c r="O13" s="7">
        <f>491+500+490</f>
        <v>1481</v>
      </c>
      <c r="P13" s="27">
        <f>481+484+507</f>
        <v>1472</v>
      </c>
      <c r="Q13" s="7">
        <f>506+489+518</f>
        <v>1513</v>
      </c>
      <c r="R13" s="7">
        <f>510+511+494</f>
        <v>1515</v>
      </c>
      <c r="S13" s="7">
        <f>499+487+504</f>
        <v>1490</v>
      </c>
      <c r="T13" s="7">
        <f>509+516+499</f>
        <v>1524</v>
      </c>
      <c r="U13" s="7">
        <f>516+480+475</f>
        <v>1471</v>
      </c>
      <c r="V13" s="7">
        <f>475+495+508</f>
        <v>1478</v>
      </c>
      <c r="W13" s="7">
        <f>487+506+502</f>
        <v>1495</v>
      </c>
      <c r="X13" s="7">
        <f>504+491+481</f>
        <v>1476</v>
      </c>
      <c r="Y13" s="7">
        <f>486+493+503</f>
        <v>1482</v>
      </c>
      <c r="Z13" s="7">
        <f>504+498+507</f>
        <v>1509</v>
      </c>
      <c r="AA13" s="7">
        <f>496+467+475</f>
        <v>1438</v>
      </c>
      <c r="AB13" s="7">
        <f>493+496+494</f>
        <v>1483</v>
      </c>
      <c r="AC13" s="7">
        <f>490+511+512</f>
        <v>1513</v>
      </c>
      <c r="AD13" s="7">
        <f>492+505+489</f>
        <v>1486</v>
      </c>
      <c r="AE13" s="7">
        <f>500+493+513</f>
        <v>1506</v>
      </c>
      <c r="AF13" s="7">
        <f>500+493+510</f>
        <v>1503</v>
      </c>
      <c r="AG13" s="7">
        <f>482+492+501</f>
        <v>1475</v>
      </c>
      <c r="AH13" s="7">
        <f>497+484+497</f>
        <v>1478</v>
      </c>
      <c r="AI13" s="7"/>
    </row>
    <row r="14" spans="1:35" s="3" customFormat="1" ht="24.95" customHeight="1">
      <c r="A14" s="55"/>
      <c r="B14" s="6" t="s">
        <v>37</v>
      </c>
      <c r="C14" s="8">
        <f>D14+'5月'!C14</f>
        <v>271622</v>
      </c>
      <c r="D14" s="10">
        <f t="shared" si="4"/>
        <v>47084</v>
      </c>
      <c r="E14" s="7">
        <f>528+531+528</f>
        <v>1587</v>
      </c>
      <c r="F14" s="7">
        <f>526+546+532</f>
        <v>1604</v>
      </c>
      <c r="G14" s="7">
        <f>536+531+522</f>
        <v>1589</v>
      </c>
      <c r="H14" s="7">
        <f>506+527+530</f>
        <v>1563</v>
      </c>
      <c r="I14" s="7">
        <f>532+535+529</f>
        <v>1596</v>
      </c>
      <c r="J14" s="7">
        <f>539+518+522</f>
        <v>1579</v>
      </c>
      <c r="K14" s="7">
        <f>530+527+516</f>
        <v>1573</v>
      </c>
      <c r="L14" s="7">
        <f>529+526+527</f>
        <v>1582</v>
      </c>
      <c r="M14" s="27">
        <f>540+524+526</f>
        <v>1590</v>
      </c>
      <c r="N14" s="7">
        <f>538+527+502</f>
        <v>1567</v>
      </c>
      <c r="O14" s="7">
        <f>525+335</f>
        <v>860</v>
      </c>
      <c r="P14" s="27">
        <f>0+447+580</f>
        <v>1027</v>
      </c>
      <c r="Q14" s="7">
        <f>577+574+580</f>
        <v>1731</v>
      </c>
      <c r="R14" s="7">
        <f>609+534+567</f>
        <v>1710</v>
      </c>
      <c r="S14" s="7">
        <f>567+542+566</f>
        <v>1675</v>
      </c>
      <c r="T14" s="7">
        <f>575+600+549</f>
        <v>1724</v>
      </c>
      <c r="U14" s="7">
        <f>556+545+524</f>
        <v>1625</v>
      </c>
      <c r="V14" s="7">
        <f>529+542+549</f>
        <v>1620</v>
      </c>
      <c r="W14" s="7">
        <f>519+547+545</f>
        <v>1611</v>
      </c>
      <c r="X14" s="7">
        <f>544+509+532</f>
        <v>1585</v>
      </c>
      <c r="Y14" s="7">
        <f>540+529+531</f>
        <v>1600</v>
      </c>
      <c r="Z14" s="7">
        <f>552+534+539</f>
        <v>1625</v>
      </c>
      <c r="AA14" s="7">
        <f>542+510+540</f>
        <v>1592</v>
      </c>
      <c r="AB14" s="7">
        <f>536+530+538</f>
        <v>1604</v>
      </c>
      <c r="AC14" s="7">
        <f>551+525+529</f>
        <v>1605</v>
      </c>
      <c r="AD14" s="7">
        <f>532+534+527</f>
        <v>1593</v>
      </c>
      <c r="AE14" s="7">
        <f>529+533+547</f>
        <v>1609</v>
      </c>
      <c r="AF14" s="7">
        <f>557+545+550</f>
        <v>1652</v>
      </c>
      <c r="AG14" s="7">
        <f>558+530+527</f>
        <v>1615</v>
      </c>
      <c r="AH14" s="7">
        <f>531+530+530</f>
        <v>1591</v>
      </c>
      <c r="AI14" s="7"/>
    </row>
    <row r="15" spans="1:35" s="3" customFormat="1" ht="24" customHeight="1">
      <c r="A15" s="56"/>
      <c r="B15" s="7" t="s">
        <v>38</v>
      </c>
      <c r="C15" s="8">
        <f>D15+'5月'!C15</f>
        <v>527258</v>
      </c>
      <c r="D15" s="7">
        <f t="shared" si="4"/>
        <v>91872</v>
      </c>
      <c r="E15" s="7">
        <f>E13+E14</f>
        <v>3101</v>
      </c>
      <c r="F15" s="7">
        <f t="shared" ref="F15:AI15" si="5">F13+F14</f>
        <v>3127</v>
      </c>
      <c r="G15" s="7">
        <f t="shared" si="5"/>
        <v>3093</v>
      </c>
      <c r="H15" s="7">
        <f t="shared" si="5"/>
        <v>3055</v>
      </c>
      <c r="I15" s="7">
        <f t="shared" si="5"/>
        <v>3089</v>
      </c>
      <c r="J15" s="7">
        <f t="shared" si="5"/>
        <v>3080</v>
      </c>
      <c r="K15" s="7">
        <f t="shared" si="5"/>
        <v>3061</v>
      </c>
      <c r="L15" s="7">
        <f t="shared" si="5"/>
        <v>3085</v>
      </c>
      <c r="M15" s="7">
        <f t="shared" si="5"/>
        <v>3067</v>
      </c>
      <c r="N15" s="7">
        <f t="shared" si="5"/>
        <v>3072</v>
      </c>
      <c r="O15" s="7">
        <f t="shared" si="5"/>
        <v>2341</v>
      </c>
      <c r="P15" s="7">
        <f t="shared" si="5"/>
        <v>2499</v>
      </c>
      <c r="Q15" s="7">
        <f t="shared" si="5"/>
        <v>3244</v>
      </c>
      <c r="R15" s="7">
        <f t="shared" si="5"/>
        <v>3225</v>
      </c>
      <c r="S15" s="7">
        <f t="shared" si="5"/>
        <v>3165</v>
      </c>
      <c r="T15" s="7">
        <f t="shared" si="5"/>
        <v>3248</v>
      </c>
      <c r="U15" s="7">
        <f t="shared" si="5"/>
        <v>3096</v>
      </c>
      <c r="V15" s="7">
        <f t="shared" si="5"/>
        <v>3098</v>
      </c>
      <c r="W15" s="7">
        <f t="shared" si="5"/>
        <v>3106</v>
      </c>
      <c r="X15" s="7">
        <f t="shared" si="5"/>
        <v>3061</v>
      </c>
      <c r="Y15" s="7">
        <f t="shared" si="5"/>
        <v>3082</v>
      </c>
      <c r="Z15" s="7">
        <f t="shared" si="5"/>
        <v>3134</v>
      </c>
      <c r="AA15" s="7">
        <f t="shared" si="5"/>
        <v>3030</v>
      </c>
      <c r="AB15" s="7">
        <f t="shared" si="5"/>
        <v>3087</v>
      </c>
      <c r="AC15" s="7">
        <f t="shared" si="5"/>
        <v>3118</v>
      </c>
      <c r="AD15" s="7">
        <f t="shared" si="5"/>
        <v>3079</v>
      </c>
      <c r="AE15" s="7">
        <f t="shared" si="5"/>
        <v>3115</v>
      </c>
      <c r="AF15" s="7">
        <f t="shared" si="5"/>
        <v>3155</v>
      </c>
      <c r="AG15" s="7">
        <f t="shared" si="5"/>
        <v>3090</v>
      </c>
      <c r="AH15" s="7">
        <f t="shared" si="5"/>
        <v>3069</v>
      </c>
      <c r="AI15" s="7">
        <f t="shared" si="5"/>
        <v>0</v>
      </c>
    </row>
    <row r="16" spans="1:35" s="3" customFormat="1" ht="24.95" customHeight="1">
      <c r="A16" s="51" t="s">
        <v>47</v>
      </c>
      <c r="B16" s="7" t="s">
        <v>38</v>
      </c>
      <c r="C16" s="8">
        <f>D16+'5月'!C16</f>
        <v>15948000</v>
      </c>
      <c r="D16" s="7">
        <f t="shared" si="4"/>
        <v>2900000</v>
      </c>
      <c r="E16" s="7">
        <v>98000</v>
      </c>
      <c r="F16" s="7">
        <v>96000</v>
      </c>
      <c r="G16" s="7">
        <v>100000</v>
      </c>
      <c r="H16" s="7">
        <v>96000</v>
      </c>
      <c r="I16" s="7">
        <v>102000</v>
      </c>
      <c r="J16" s="7">
        <v>94000</v>
      </c>
      <c r="K16" s="7">
        <v>94000</v>
      </c>
      <c r="L16" s="7">
        <v>100000</v>
      </c>
      <c r="M16" s="7">
        <v>94000</v>
      </c>
      <c r="N16" s="7">
        <v>96000</v>
      </c>
      <c r="O16" s="7">
        <v>80000</v>
      </c>
      <c r="P16" s="7">
        <v>88000</v>
      </c>
      <c r="Q16" s="7">
        <v>98000</v>
      </c>
      <c r="R16" s="7">
        <v>96000</v>
      </c>
      <c r="S16" s="7">
        <v>100000</v>
      </c>
      <c r="T16" s="7">
        <v>102000</v>
      </c>
      <c r="U16" s="7">
        <v>94000</v>
      </c>
      <c r="V16" s="7">
        <v>94000</v>
      </c>
      <c r="W16" s="7">
        <v>100000</v>
      </c>
      <c r="X16" s="7">
        <v>100000</v>
      </c>
      <c r="Y16" s="7">
        <v>96000</v>
      </c>
      <c r="Z16" s="7">
        <v>100000</v>
      </c>
      <c r="AA16" s="7">
        <v>96000</v>
      </c>
      <c r="AB16" s="7">
        <v>98000</v>
      </c>
      <c r="AC16" s="7">
        <v>98000</v>
      </c>
      <c r="AD16" s="7">
        <v>96000</v>
      </c>
      <c r="AE16" s="7">
        <v>98000</v>
      </c>
      <c r="AF16" s="7">
        <v>96000</v>
      </c>
      <c r="AG16" s="7">
        <v>102000</v>
      </c>
      <c r="AH16" s="7">
        <v>98000</v>
      </c>
      <c r="AI16" s="7"/>
    </row>
    <row r="17" spans="1:35" s="3" customFormat="1" ht="24.95" customHeight="1">
      <c r="A17" s="51"/>
      <c r="B17" s="7" t="s">
        <v>77</v>
      </c>
      <c r="C17" s="8">
        <f>D17+'5月'!C17</f>
        <v>741645</v>
      </c>
      <c r="D17" s="7">
        <f t="shared" si="4"/>
        <v>160965</v>
      </c>
      <c r="E17" s="7">
        <v>7080</v>
      </c>
      <c r="F17" s="7">
        <v>7005</v>
      </c>
      <c r="G17" s="7">
        <v>6825</v>
      </c>
      <c r="H17" s="7">
        <v>7230</v>
      </c>
      <c r="I17" s="7">
        <v>6495</v>
      </c>
      <c r="J17" s="7">
        <v>6750</v>
      </c>
      <c r="K17" s="7">
        <v>4260</v>
      </c>
      <c r="L17" s="7">
        <v>4875</v>
      </c>
      <c r="M17" s="7">
        <v>3120</v>
      </c>
      <c r="N17" s="7">
        <v>1635</v>
      </c>
      <c r="O17" s="7">
        <v>4380</v>
      </c>
      <c r="P17" s="7">
        <v>3525</v>
      </c>
      <c r="Q17" s="7">
        <v>4485</v>
      </c>
      <c r="R17" s="7">
        <v>3600</v>
      </c>
      <c r="S17" s="7">
        <v>3180</v>
      </c>
      <c r="T17" s="7">
        <v>3210</v>
      </c>
      <c r="U17" s="7">
        <v>3330</v>
      </c>
      <c r="V17" s="7">
        <v>5130</v>
      </c>
      <c r="W17" s="7">
        <v>6540</v>
      </c>
      <c r="X17" s="7">
        <v>6315</v>
      </c>
      <c r="Y17" s="7">
        <v>5325</v>
      </c>
      <c r="Z17" s="7">
        <v>5490</v>
      </c>
      <c r="AA17" s="7">
        <v>6045</v>
      </c>
      <c r="AB17" s="7">
        <v>5640</v>
      </c>
      <c r="AC17" s="7">
        <v>6885</v>
      </c>
      <c r="AD17" s="7">
        <v>7035</v>
      </c>
      <c r="AE17" s="7">
        <v>6855</v>
      </c>
      <c r="AF17" s="7">
        <v>6165</v>
      </c>
      <c r="AG17" s="7">
        <v>6405</v>
      </c>
      <c r="AH17" s="7">
        <v>6150</v>
      </c>
      <c r="AI17" s="7"/>
    </row>
    <row r="18" spans="1:35" s="3" customFormat="1" ht="24.95" customHeight="1">
      <c r="A18" s="51"/>
      <c r="B18" s="6" t="s">
        <v>48</v>
      </c>
      <c r="C18" s="11">
        <f>SUM(C16/C8)</f>
        <v>0.13589651822690321</v>
      </c>
      <c r="D18" s="11">
        <f>SUM(D16/D8)</f>
        <v>0.14347912131407084</v>
      </c>
      <c r="E18" s="11">
        <f>SUM(E16/E8)</f>
        <v>0.14285714285714285</v>
      </c>
      <c r="F18" s="11">
        <f>SUM(F16/F8)</f>
        <v>0.1391304347826087</v>
      </c>
      <c r="G18" s="11">
        <f>SUM(G16/G8)</f>
        <v>0.14749262536873156</v>
      </c>
      <c r="H18" s="11">
        <f>SUM(H16/H8)</f>
        <v>0.14285714285714285</v>
      </c>
      <c r="I18" s="11">
        <f>SUM(I16/I8)</f>
        <v>0.14739884393063585</v>
      </c>
      <c r="J18" s="11">
        <f>SUM(J16/J8)</f>
        <v>0.1378299120234604</v>
      </c>
      <c r="K18" s="11">
        <f>SUM(K16/K8)</f>
        <v>0.13905325443786981</v>
      </c>
      <c r="L18" s="11">
        <f>SUM(L16/L8)</f>
        <v>0.14619883040935672</v>
      </c>
      <c r="M18" s="11">
        <f>SUM(M16/M8)</f>
        <v>0.13864306784660768</v>
      </c>
      <c r="N18" s="11">
        <f>SUM(N16/N8)</f>
        <v>0.14201183431952663</v>
      </c>
      <c r="O18" s="11">
        <f>SUM(O16/O8)</f>
        <v>0.15748031496062992</v>
      </c>
      <c r="P18" s="11">
        <f>SUM(P16/P8)</f>
        <v>0.16479400749063669</v>
      </c>
      <c r="Q18" s="11">
        <f>SUM(Q16/Q8)</f>
        <v>0.13725490196078433</v>
      </c>
      <c r="R18" s="11">
        <f>SUM(R16/R8)</f>
        <v>0.1348314606741573</v>
      </c>
      <c r="S18" s="11">
        <f>SUM(S16/S8)</f>
        <v>0.14367816091954022</v>
      </c>
      <c r="T18" s="11">
        <f>SUM(T16/T8)</f>
        <v>0.14206128133704735</v>
      </c>
      <c r="U18" s="11">
        <f>SUM(U16/U8)</f>
        <v>0.13823529411764707</v>
      </c>
      <c r="V18" s="11">
        <f>SUM(V16/V8)</f>
        <v>0.1378299120234604</v>
      </c>
      <c r="W18" s="11">
        <f>SUM(W16/W8)</f>
        <v>0.14749262536873156</v>
      </c>
      <c r="X18" s="11">
        <f>SUM(X16/X8)</f>
        <v>0.14925373134328357</v>
      </c>
      <c r="Y18" s="11">
        <f>SUM(Y16/Y8)</f>
        <v>0.14201183431952663</v>
      </c>
      <c r="Z18" s="11">
        <f>SUM(Z16/Z8)</f>
        <v>0.14492753623188406</v>
      </c>
      <c r="AA18" s="11">
        <f>SUM(AA16/AA8)</f>
        <v>0.14243323442136499</v>
      </c>
      <c r="AB18" s="11">
        <f>SUM(AB16/AB8)</f>
        <v>0.14411764705882352</v>
      </c>
      <c r="AC18" s="11">
        <f>SUM(AC16/AC8)</f>
        <v>0.14244186046511628</v>
      </c>
      <c r="AD18" s="11">
        <f>SUM(AD16/AD8)</f>
        <v>0.14201183431952663</v>
      </c>
      <c r="AE18" s="11">
        <f>SUM(AE16/AE8)</f>
        <v>0.14369501466275661</v>
      </c>
      <c r="AF18" s="11">
        <f>SUM(AF16/AF8)</f>
        <v>0.13872832369942195</v>
      </c>
      <c r="AG18" s="11">
        <f>SUM(AG16/AG8)</f>
        <v>0.15044247787610621</v>
      </c>
      <c r="AH18" s="11">
        <f>SUM(AH16/AH8)</f>
        <v>0.14626865671641792</v>
      </c>
      <c r="AI18" s="11" t="e">
        <f>SUM(AI16/AI8)</f>
        <v>#DIV/0!</v>
      </c>
    </row>
    <row r="19" spans="1:35" s="3" customFormat="1" ht="24.95" customHeight="1">
      <c r="A19" s="13"/>
      <c r="B19" s="13" t="s">
        <v>49</v>
      </c>
      <c r="C19" s="7"/>
      <c r="D19" s="7">
        <f t="shared" ref="D19" si="6">COUNT(E19:AI19)</f>
        <v>30</v>
      </c>
      <c r="E19" s="14">
        <v>13000</v>
      </c>
      <c r="F19" s="14">
        <v>12900</v>
      </c>
      <c r="G19" s="14">
        <v>12800</v>
      </c>
      <c r="H19" s="14">
        <v>12600</v>
      </c>
      <c r="I19" s="14">
        <v>12500</v>
      </c>
      <c r="J19" s="14">
        <v>12800</v>
      </c>
      <c r="K19" s="14">
        <v>12800</v>
      </c>
      <c r="L19" s="14">
        <v>12700</v>
      </c>
      <c r="M19" s="7">
        <v>12700</v>
      </c>
      <c r="N19" s="7">
        <v>12700</v>
      </c>
      <c r="O19" s="7">
        <v>13200</v>
      </c>
      <c r="P19" s="7">
        <v>13100</v>
      </c>
      <c r="Q19" s="7">
        <v>13100</v>
      </c>
      <c r="R19" s="7">
        <v>13100</v>
      </c>
      <c r="S19" s="7">
        <v>13100</v>
      </c>
      <c r="T19" s="7">
        <v>13200</v>
      </c>
      <c r="U19" s="7">
        <v>13800</v>
      </c>
      <c r="V19" s="7">
        <v>14300</v>
      </c>
      <c r="W19" s="7">
        <v>14500</v>
      </c>
      <c r="X19" s="7">
        <v>14800</v>
      </c>
      <c r="Y19" s="7">
        <v>14900</v>
      </c>
      <c r="Z19" s="7">
        <v>15400</v>
      </c>
      <c r="AA19" s="7">
        <v>15600</v>
      </c>
      <c r="AB19" s="7">
        <v>15500</v>
      </c>
      <c r="AC19" s="7">
        <v>15400</v>
      </c>
      <c r="AD19" s="7">
        <v>15500</v>
      </c>
      <c r="AE19" s="7">
        <v>15500</v>
      </c>
      <c r="AF19" s="7">
        <v>15500</v>
      </c>
      <c r="AG19" s="7">
        <v>15500</v>
      </c>
      <c r="AH19" s="7">
        <v>15600</v>
      </c>
      <c r="AI19" s="7"/>
    </row>
    <row r="20" spans="1:35" s="3" customFormat="1" ht="24.95" customHeight="1">
      <c r="A20" s="62" t="s">
        <v>50</v>
      </c>
      <c r="B20" s="13" t="s">
        <v>51</v>
      </c>
      <c r="C20" s="7">
        <f>D20+'5月'!C20</f>
        <v>49390.460000000006</v>
      </c>
      <c r="D20" s="7">
        <f t="shared" ref="D20:D33" si="7">SUM(E20:AI20)</f>
        <v>9329.0600000000013</v>
      </c>
      <c r="E20" s="7">
        <v>317.98</v>
      </c>
      <c r="F20" s="15">
        <v>367.88</v>
      </c>
      <c r="G20" s="15">
        <v>378.62</v>
      </c>
      <c r="H20" s="15">
        <v>256.39999999999998</v>
      </c>
      <c r="I20" s="15">
        <v>302.58</v>
      </c>
      <c r="J20" s="15">
        <v>334.92</v>
      </c>
      <c r="K20" s="15">
        <v>308.48</v>
      </c>
      <c r="L20" s="15">
        <v>233.28</v>
      </c>
      <c r="M20" s="15">
        <v>338.6</v>
      </c>
      <c r="N20" s="15">
        <v>282.56</v>
      </c>
      <c r="O20" s="15">
        <v>321.36</v>
      </c>
      <c r="P20" s="15">
        <v>267.82</v>
      </c>
      <c r="Q20" s="15">
        <v>342.98</v>
      </c>
      <c r="R20" s="17">
        <v>354.18</v>
      </c>
      <c r="S20" s="15">
        <v>263.36</v>
      </c>
      <c r="T20" s="15">
        <v>236.16</v>
      </c>
      <c r="U20" s="15">
        <v>451.7</v>
      </c>
      <c r="V20" s="15">
        <v>316.33999999999997</v>
      </c>
      <c r="W20" s="15">
        <v>279.94</v>
      </c>
      <c r="X20" s="15">
        <v>340.04</v>
      </c>
      <c r="Y20" s="15">
        <v>232.68</v>
      </c>
      <c r="Z20" s="15">
        <v>198.72</v>
      </c>
      <c r="AA20" s="15">
        <v>219.76</v>
      </c>
      <c r="AB20" s="15">
        <v>343.68</v>
      </c>
      <c r="AC20" s="15">
        <v>388.9</v>
      </c>
      <c r="AD20" s="15">
        <v>311.66000000000003</v>
      </c>
      <c r="AE20" s="15">
        <v>289.86</v>
      </c>
      <c r="AF20" s="15">
        <v>408.02</v>
      </c>
      <c r="AG20" s="15">
        <v>282.12</v>
      </c>
      <c r="AH20" s="15">
        <v>358.48</v>
      </c>
      <c r="AI20" s="15"/>
    </row>
    <row r="21" spans="1:35" s="3" customFormat="1" ht="24.95" customHeight="1">
      <c r="A21" s="63"/>
      <c r="B21" s="16" t="s">
        <v>52</v>
      </c>
      <c r="C21" s="7">
        <f>D21+'5月'!C21</f>
        <v>3424.5199999999995</v>
      </c>
      <c r="D21" s="7">
        <f t="shared" si="7"/>
        <v>0</v>
      </c>
      <c r="E21" s="17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3"/>
      <c r="B22" s="16" t="s">
        <v>53</v>
      </c>
      <c r="C22" s="7">
        <f>D22+'5月'!C22</f>
        <v>0</v>
      </c>
      <c r="D22" s="7">
        <f t="shared" si="7"/>
        <v>0</v>
      </c>
      <c r="E22" s="17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4.95" customHeight="1">
      <c r="A23" s="63"/>
      <c r="B23" s="13" t="s">
        <v>54</v>
      </c>
      <c r="C23" s="7">
        <f>D23+'5月'!C23</f>
        <v>2536.52</v>
      </c>
      <c r="D23" s="7">
        <f t="shared" si="7"/>
        <v>2536.52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>
        <v>118.48</v>
      </c>
      <c r="U23" s="15">
        <v>363.66</v>
      </c>
      <c r="V23" s="15">
        <v>351.62</v>
      </c>
      <c r="W23" s="15">
        <v>338.56</v>
      </c>
      <c r="X23" s="15">
        <v>335.08</v>
      </c>
      <c r="Y23" s="15">
        <v>317.06</v>
      </c>
      <c r="Z23" s="15">
        <v>367.12</v>
      </c>
      <c r="AA23" s="15">
        <v>344.94</v>
      </c>
      <c r="AB23" s="15">
        <v>0</v>
      </c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3" t="s">
        <v>55</v>
      </c>
      <c r="C24" s="7">
        <f>D24+'5月'!C24</f>
        <v>2743.06</v>
      </c>
      <c r="D24" s="7">
        <f t="shared" si="7"/>
        <v>1336.0200000000002</v>
      </c>
      <c r="E24" s="17">
        <v>194.48</v>
      </c>
      <c r="F24" s="15">
        <v>132.58000000000001</v>
      </c>
      <c r="G24" s="15">
        <v>95.5</v>
      </c>
      <c r="H24" s="15">
        <v>0</v>
      </c>
      <c r="I24" s="17">
        <v>0</v>
      </c>
      <c r="J24" s="17">
        <v>286.94</v>
      </c>
      <c r="K24" s="15">
        <v>260.44</v>
      </c>
      <c r="L24" s="17">
        <v>132.41999999999999</v>
      </c>
      <c r="M24" s="15">
        <v>0</v>
      </c>
      <c r="N24" s="15">
        <v>0</v>
      </c>
      <c r="O24" s="15">
        <v>0</v>
      </c>
      <c r="P24" s="17">
        <v>0</v>
      </c>
      <c r="Q24" s="15">
        <v>0</v>
      </c>
      <c r="R24" s="17">
        <v>0</v>
      </c>
      <c r="S24" s="15">
        <v>0</v>
      </c>
      <c r="T24" s="17">
        <v>172.68</v>
      </c>
      <c r="U24" s="15">
        <v>60.98</v>
      </c>
      <c r="V24" s="15">
        <v>0</v>
      </c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7"/>
      <c r="AI24" s="15"/>
    </row>
    <row r="25" spans="1:35" s="3" customFormat="1" ht="22.15" customHeight="1">
      <c r="A25" s="63"/>
      <c r="B25" s="18" t="s">
        <v>56</v>
      </c>
      <c r="C25" s="7">
        <f>D25+'5月'!C25</f>
        <v>0</v>
      </c>
      <c r="D25" s="7">
        <f t="shared" si="7"/>
        <v>0</v>
      </c>
      <c r="E25" s="17"/>
      <c r="F25" s="15"/>
      <c r="G25" s="15"/>
      <c r="H25" s="15"/>
      <c r="I25" s="17"/>
      <c r="J25" s="17"/>
      <c r="K25" s="15"/>
      <c r="L25" s="17"/>
      <c r="M25" s="15"/>
      <c r="N25" s="15"/>
      <c r="O25" s="15"/>
      <c r="P25" s="17"/>
      <c r="Q25" s="15"/>
      <c r="R25" s="17"/>
      <c r="S25" s="15"/>
      <c r="T25" s="17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7"/>
      <c r="AI25" s="15"/>
    </row>
    <row r="26" spans="1:35" s="3" customFormat="1" ht="22.15" customHeight="1">
      <c r="A26" s="63"/>
      <c r="B26" s="16" t="s">
        <v>57</v>
      </c>
      <c r="C26" s="7">
        <f>D26+'5月'!C26</f>
        <v>42991.179999999993</v>
      </c>
      <c r="D26" s="7">
        <f t="shared" si="7"/>
        <v>7784.34</v>
      </c>
      <c r="E26" s="17">
        <v>253.64</v>
      </c>
      <c r="F26" s="15">
        <v>282.10000000000002</v>
      </c>
      <c r="G26" s="15">
        <v>267.82</v>
      </c>
      <c r="H26" s="15">
        <v>242.44</v>
      </c>
      <c r="I26" s="17">
        <v>247.98</v>
      </c>
      <c r="J26" s="17">
        <v>274.38</v>
      </c>
      <c r="K26" s="15">
        <v>213.66</v>
      </c>
      <c r="L26" s="17">
        <v>275.26</v>
      </c>
      <c r="M26" s="15">
        <v>237.4</v>
      </c>
      <c r="N26" s="15">
        <v>281.45999999999998</v>
      </c>
      <c r="O26" s="15">
        <v>230.18</v>
      </c>
      <c r="P26" s="17">
        <v>251.2</v>
      </c>
      <c r="Q26" s="15">
        <v>245.14</v>
      </c>
      <c r="R26" s="17">
        <v>254.1</v>
      </c>
      <c r="S26" s="15">
        <v>279.08</v>
      </c>
      <c r="T26" s="17">
        <v>266.24</v>
      </c>
      <c r="U26" s="15">
        <v>250.7</v>
      </c>
      <c r="V26" s="15">
        <v>261.5</v>
      </c>
      <c r="W26" s="15">
        <v>239.46</v>
      </c>
      <c r="X26" s="15">
        <v>268.24</v>
      </c>
      <c r="Y26" s="15">
        <v>250.9</v>
      </c>
      <c r="Z26" s="15">
        <v>271.14</v>
      </c>
      <c r="AA26" s="15">
        <v>292.92</v>
      </c>
      <c r="AB26" s="15">
        <v>237.78</v>
      </c>
      <c r="AC26" s="15">
        <v>240.88</v>
      </c>
      <c r="AD26" s="15">
        <v>263.48</v>
      </c>
      <c r="AE26" s="15">
        <v>276.33999999999997</v>
      </c>
      <c r="AF26" s="15">
        <v>260.08</v>
      </c>
      <c r="AG26" s="15">
        <v>290.58</v>
      </c>
      <c r="AH26" s="17">
        <v>278.26</v>
      </c>
      <c r="AI26" s="15"/>
    </row>
    <row r="27" spans="1:35" s="3" customFormat="1" ht="22.15" customHeight="1">
      <c r="A27" s="63"/>
      <c r="B27" s="13" t="s">
        <v>58</v>
      </c>
      <c r="C27" s="7">
        <f>D27+'5月'!C27</f>
        <v>0</v>
      </c>
      <c r="D27" s="7">
        <f t="shared" si="7"/>
        <v>0</v>
      </c>
      <c r="E27" s="17"/>
      <c r="F27" s="15"/>
      <c r="G27" s="15"/>
      <c r="H27" s="15"/>
      <c r="I27" s="17"/>
      <c r="J27" s="17"/>
      <c r="K27" s="15"/>
      <c r="L27" s="17"/>
      <c r="M27" s="15"/>
      <c r="N27" s="15"/>
      <c r="O27" s="15"/>
      <c r="P27" s="17"/>
      <c r="Q27" s="15"/>
      <c r="R27" s="17"/>
      <c r="S27" s="15"/>
      <c r="T27" s="17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7"/>
      <c r="AI27" s="15"/>
    </row>
    <row r="28" spans="1:35" s="3" customFormat="1" ht="22.15" customHeight="1">
      <c r="A28" s="63"/>
      <c r="B28" s="19" t="s">
        <v>59</v>
      </c>
      <c r="C28" s="7">
        <f>D28+'5月'!C28</f>
        <v>29525.22</v>
      </c>
      <c r="D28" s="7">
        <f t="shared" si="7"/>
        <v>5331.8</v>
      </c>
      <c r="E28" s="17"/>
      <c r="F28" s="15"/>
      <c r="G28" s="15"/>
      <c r="H28" s="15">
        <v>87.56</v>
      </c>
      <c r="I28" s="17">
        <v>210.8</v>
      </c>
      <c r="J28" s="17">
        <v>201.28</v>
      </c>
      <c r="K28" s="15">
        <v>186.38</v>
      </c>
      <c r="L28" s="17">
        <v>189.64</v>
      </c>
      <c r="M28" s="15">
        <v>185.38</v>
      </c>
      <c r="N28" s="15">
        <v>208.92</v>
      </c>
      <c r="O28" s="15">
        <v>199.54</v>
      </c>
      <c r="P28" s="17">
        <v>221.56</v>
      </c>
      <c r="Q28" s="15">
        <v>174.48</v>
      </c>
      <c r="R28" s="17">
        <v>197.38</v>
      </c>
      <c r="S28" s="15">
        <v>216.2</v>
      </c>
      <c r="T28" s="17">
        <v>203.7</v>
      </c>
      <c r="U28" s="15">
        <v>210.34</v>
      </c>
      <c r="V28" s="15">
        <v>206.3</v>
      </c>
      <c r="W28" s="15">
        <v>193.56</v>
      </c>
      <c r="X28" s="15">
        <v>198.46</v>
      </c>
      <c r="Y28" s="15">
        <v>197.54</v>
      </c>
      <c r="Z28" s="15">
        <v>204.4</v>
      </c>
      <c r="AA28" s="15">
        <v>185.72</v>
      </c>
      <c r="AB28" s="15">
        <v>218.7</v>
      </c>
      <c r="AC28" s="15">
        <v>215.14</v>
      </c>
      <c r="AD28" s="15">
        <v>193</v>
      </c>
      <c r="AE28" s="15">
        <v>195.46</v>
      </c>
      <c r="AF28" s="15">
        <v>214.78</v>
      </c>
      <c r="AG28" s="15">
        <v>202.86</v>
      </c>
      <c r="AH28" s="17">
        <v>212.72</v>
      </c>
      <c r="AI28" s="15"/>
    </row>
    <row r="29" spans="1:35" s="3" customFormat="1" ht="22.15" customHeight="1">
      <c r="A29" s="63"/>
      <c r="B29" s="19" t="s">
        <v>60</v>
      </c>
      <c r="C29" s="7">
        <f>D29+'5月'!C29</f>
        <v>32993.339999999997</v>
      </c>
      <c r="D29" s="7">
        <f t="shared" si="7"/>
        <v>5503.52</v>
      </c>
      <c r="E29" s="17">
        <v>163.46</v>
      </c>
      <c r="F29" s="15">
        <v>152.02000000000001</v>
      </c>
      <c r="G29" s="15">
        <v>182.06</v>
      </c>
      <c r="H29" s="15">
        <v>154.72</v>
      </c>
      <c r="I29" s="17">
        <v>152.91999999999999</v>
      </c>
      <c r="J29" s="17">
        <v>192.42</v>
      </c>
      <c r="K29" s="15">
        <v>178.96</v>
      </c>
      <c r="L29" s="17">
        <v>188.3</v>
      </c>
      <c r="M29" s="15">
        <v>192.88</v>
      </c>
      <c r="N29" s="15">
        <v>201.78</v>
      </c>
      <c r="O29" s="15">
        <v>185.4</v>
      </c>
      <c r="P29" s="17">
        <v>188.58</v>
      </c>
      <c r="Q29" s="15">
        <v>175.56</v>
      </c>
      <c r="R29" s="17">
        <v>225.92</v>
      </c>
      <c r="S29" s="15">
        <v>179.88</v>
      </c>
      <c r="T29" s="17">
        <v>191.58</v>
      </c>
      <c r="U29" s="15">
        <v>196.8</v>
      </c>
      <c r="V29" s="15">
        <v>175.16</v>
      </c>
      <c r="W29" s="15">
        <v>182.56</v>
      </c>
      <c r="X29" s="15">
        <v>183.18</v>
      </c>
      <c r="Y29" s="15">
        <v>171.46</v>
      </c>
      <c r="Z29" s="15">
        <v>219.46</v>
      </c>
      <c r="AA29" s="15">
        <v>195.28</v>
      </c>
      <c r="AB29" s="15">
        <v>189.54</v>
      </c>
      <c r="AC29" s="15">
        <v>159.84</v>
      </c>
      <c r="AD29" s="15">
        <v>192.32</v>
      </c>
      <c r="AE29" s="15">
        <v>206.2</v>
      </c>
      <c r="AF29" s="15">
        <v>162.62</v>
      </c>
      <c r="AG29" s="15">
        <v>221.02</v>
      </c>
      <c r="AH29" s="17">
        <v>141.63999999999999</v>
      </c>
      <c r="AI29" s="15"/>
    </row>
    <row r="30" spans="1:35" s="3" customFormat="1" ht="22.15" customHeight="1">
      <c r="A30" s="63"/>
      <c r="B30" s="19" t="s">
        <v>61</v>
      </c>
      <c r="C30" s="7">
        <f>D30+'5月'!C30</f>
        <v>92684.739999999991</v>
      </c>
      <c r="D30" s="7">
        <f t="shared" si="7"/>
        <v>18686.939999999995</v>
      </c>
      <c r="E30" s="17">
        <v>590.98</v>
      </c>
      <c r="F30" s="15">
        <v>683.22</v>
      </c>
      <c r="G30" s="15">
        <v>549.38</v>
      </c>
      <c r="H30" s="15">
        <v>665.14</v>
      </c>
      <c r="I30" s="17">
        <v>693.76</v>
      </c>
      <c r="J30" s="17">
        <v>670.36</v>
      </c>
      <c r="K30" s="15">
        <v>572.64</v>
      </c>
      <c r="L30" s="17">
        <v>520.9</v>
      </c>
      <c r="M30" s="15">
        <v>602.16</v>
      </c>
      <c r="N30" s="15">
        <v>660.52</v>
      </c>
      <c r="O30" s="15">
        <v>649.24</v>
      </c>
      <c r="P30" s="17">
        <v>516.16</v>
      </c>
      <c r="Q30" s="15">
        <v>622.76</v>
      </c>
      <c r="R30" s="17">
        <v>664.64</v>
      </c>
      <c r="S30" s="15">
        <v>582.76</v>
      </c>
      <c r="T30" s="17">
        <v>636.86</v>
      </c>
      <c r="U30" s="15">
        <v>666.14</v>
      </c>
      <c r="V30" s="15">
        <v>702.98</v>
      </c>
      <c r="W30" s="15">
        <v>655.22</v>
      </c>
      <c r="X30" s="15">
        <v>585.16</v>
      </c>
      <c r="Y30" s="15">
        <v>600.88</v>
      </c>
      <c r="Z30" s="15">
        <v>654.66</v>
      </c>
      <c r="AA30" s="15">
        <v>627.46</v>
      </c>
      <c r="AB30" s="15">
        <v>569.22</v>
      </c>
      <c r="AC30" s="15">
        <v>610.34</v>
      </c>
      <c r="AD30" s="15">
        <v>703.74</v>
      </c>
      <c r="AE30" s="15">
        <v>547.17999999999995</v>
      </c>
      <c r="AF30" s="15">
        <v>596.41999999999996</v>
      </c>
      <c r="AG30" s="15">
        <v>669.58</v>
      </c>
      <c r="AH30" s="17">
        <v>616.48</v>
      </c>
      <c r="AI30" s="15"/>
    </row>
    <row r="31" spans="1:35" s="3" customFormat="1" ht="22.15" customHeight="1">
      <c r="A31" s="63"/>
      <c r="B31" s="19" t="s">
        <v>62</v>
      </c>
      <c r="C31" s="7">
        <f>D31+'5月'!C31</f>
        <v>32.82</v>
      </c>
      <c r="D31" s="7">
        <f t="shared" si="7"/>
        <v>0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7"/>
      <c r="AI31" s="15"/>
    </row>
    <row r="32" spans="1:35" s="3" customFormat="1" ht="22.15" customHeight="1">
      <c r="A32" s="63"/>
      <c r="B32" s="19" t="s">
        <v>63</v>
      </c>
      <c r="C32" s="7">
        <f>D32+'5月'!C32</f>
        <v>0</v>
      </c>
      <c r="D32" s="7">
        <f t="shared" si="7"/>
        <v>0</v>
      </c>
      <c r="E32" s="17"/>
      <c r="F32" s="15"/>
      <c r="G32" s="15"/>
      <c r="H32" s="15"/>
      <c r="I32" s="17"/>
      <c r="J32" s="17"/>
      <c r="K32" s="15"/>
      <c r="L32" s="17"/>
      <c r="M32" s="15"/>
      <c r="N32" s="15"/>
      <c r="O32" s="15"/>
      <c r="P32" s="17"/>
      <c r="Q32" s="15"/>
      <c r="R32" s="17"/>
      <c r="S32" s="15"/>
      <c r="T32" s="17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7"/>
      <c r="AI32" s="15"/>
    </row>
    <row r="33" spans="1:35" s="3" customFormat="1" ht="22.15" customHeight="1">
      <c r="A33" s="63"/>
      <c r="B33" s="19" t="s">
        <v>64</v>
      </c>
      <c r="C33" s="7">
        <f>D33+'5月'!C33</f>
        <v>462.38</v>
      </c>
      <c r="D33" s="7">
        <f t="shared" si="7"/>
        <v>1.34</v>
      </c>
      <c r="E33" s="17"/>
      <c r="F33" s="15"/>
      <c r="G33" s="15"/>
      <c r="H33" s="15"/>
      <c r="I33" s="17"/>
      <c r="J33" s="17"/>
      <c r="K33" s="15"/>
      <c r="L33" s="17"/>
      <c r="M33" s="15"/>
      <c r="N33" s="15"/>
      <c r="O33" s="15"/>
      <c r="P33" s="17"/>
      <c r="Q33" s="15"/>
      <c r="R33" s="17"/>
      <c r="S33" s="15"/>
      <c r="T33" s="17"/>
      <c r="U33" s="15"/>
      <c r="V33" s="15"/>
      <c r="W33" s="15">
        <v>1.34</v>
      </c>
      <c r="X33" s="15"/>
      <c r="Y33" s="15"/>
      <c r="Z33" s="15"/>
      <c r="AA33" s="15"/>
      <c r="AB33" s="15"/>
      <c r="AC33" s="15"/>
      <c r="AD33" s="15"/>
      <c r="AE33" s="28"/>
      <c r="AF33" s="28"/>
      <c r="AG33" s="15"/>
      <c r="AH33" s="17"/>
      <c r="AI33" s="15"/>
    </row>
    <row r="34" spans="1:35" s="3" customFormat="1" ht="22.15" hidden="1" customHeight="1">
      <c r="A34" s="63"/>
      <c r="B34" s="19"/>
      <c r="C34" s="7">
        <f>D34+'5月'!C34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5"/>
      <c r="AF34" s="17"/>
      <c r="AG34" s="17"/>
      <c r="AH34" s="17"/>
      <c r="AI34" s="17"/>
    </row>
    <row r="35" spans="1:35" s="3" customFormat="1" ht="22.15" hidden="1" customHeight="1">
      <c r="A35" s="63"/>
      <c r="B35" s="19"/>
      <c r="C35" s="7">
        <f>D35+'5月'!C35</f>
        <v>0</v>
      </c>
      <c r="D35" s="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3" customFormat="1" ht="26.1" customHeight="1">
      <c r="A36" s="64"/>
      <c r="B36" s="12" t="s">
        <v>65</v>
      </c>
      <c r="C36" s="7">
        <f>D36+'5月'!C36</f>
        <v>256784.24</v>
      </c>
      <c r="D36" s="7">
        <f>SUM(D20:D35)</f>
        <v>50509.539999999994</v>
      </c>
      <c r="E36" s="7">
        <f t="shared" ref="E36:AI36" si="8">SUM(E20:E35)</f>
        <v>1520.54</v>
      </c>
      <c r="F36" s="7">
        <f t="shared" si="8"/>
        <v>1617.8000000000002</v>
      </c>
      <c r="G36" s="7">
        <f t="shared" si="8"/>
        <v>1473.38</v>
      </c>
      <c r="H36" s="7">
        <f t="shared" si="8"/>
        <v>1406.26</v>
      </c>
      <c r="I36" s="7">
        <f t="shared" si="8"/>
        <v>1608.04</v>
      </c>
      <c r="J36" s="7">
        <f t="shared" si="8"/>
        <v>1960.3000000000002</v>
      </c>
      <c r="K36" s="7">
        <f t="shared" si="8"/>
        <v>1720.56</v>
      </c>
      <c r="L36" s="7">
        <f t="shared" si="8"/>
        <v>1539.8000000000002</v>
      </c>
      <c r="M36" s="7">
        <f t="shared" si="8"/>
        <v>1556.42</v>
      </c>
      <c r="N36" s="7">
        <f t="shared" si="8"/>
        <v>1635.2399999999998</v>
      </c>
      <c r="O36" s="7">
        <f t="shared" si="8"/>
        <v>1585.7199999999998</v>
      </c>
      <c r="P36" s="7">
        <f t="shared" si="8"/>
        <v>1445.32</v>
      </c>
      <c r="Q36" s="7">
        <f t="shared" si="8"/>
        <v>1560.92</v>
      </c>
      <c r="R36" s="7">
        <f t="shared" si="8"/>
        <v>1696.2199999999998</v>
      </c>
      <c r="S36" s="7">
        <f t="shared" si="8"/>
        <v>1521.2800000000002</v>
      </c>
      <c r="T36" s="7">
        <f t="shared" si="8"/>
        <v>1825.6999999999998</v>
      </c>
      <c r="U36" s="7">
        <f t="shared" si="8"/>
        <v>2200.3199999999997</v>
      </c>
      <c r="V36" s="7">
        <f t="shared" si="8"/>
        <v>2013.9</v>
      </c>
      <c r="W36" s="7">
        <f t="shared" si="8"/>
        <v>1890.6399999999999</v>
      </c>
      <c r="X36" s="7">
        <f t="shared" si="8"/>
        <v>1910.1599999999999</v>
      </c>
      <c r="Y36" s="7">
        <f t="shared" si="8"/>
        <v>1770.52</v>
      </c>
      <c r="Z36" s="7">
        <f t="shared" si="8"/>
        <v>1915.5</v>
      </c>
      <c r="AA36" s="7">
        <f t="shared" si="8"/>
        <v>1866.0800000000002</v>
      </c>
      <c r="AB36" s="7">
        <f t="shared" si="8"/>
        <v>1558.92</v>
      </c>
      <c r="AC36" s="7">
        <f t="shared" si="8"/>
        <v>1615.1</v>
      </c>
      <c r="AD36" s="7">
        <f t="shared" si="8"/>
        <v>1664.2</v>
      </c>
      <c r="AE36" s="7">
        <f t="shared" si="8"/>
        <v>1515.04</v>
      </c>
      <c r="AF36" s="7">
        <f t="shared" si="8"/>
        <v>1641.92</v>
      </c>
      <c r="AG36" s="7">
        <f t="shared" si="8"/>
        <v>1666.16</v>
      </c>
      <c r="AH36" s="7">
        <f t="shared" si="8"/>
        <v>1607.58</v>
      </c>
      <c r="AI36" s="7">
        <f t="shared" si="8"/>
        <v>0</v>
      </c>
    </row>
    <row r="37" spans="1:35" s="3" customFormat="1" ht="26.25" customHeight="1">
      <c r="A37" s="61" t="s">
        <v>68</v>
      </c>
      <c r="B37" s="12" t="s">
        <v>66</v>
      </c>
      <c r="C37" s="7">
        <f>D37+'5月'!C37</f>
        <v>57092.76</v>
      </c>
      <c r="D37" s="7">
        <f>SUM(E37:AI37)</f>
        <v>9400.26</v>
      </c>
      <c r="E37" s="7">
        <v>343.64</v>
      </c>
      <c r="F37" s="7">
        <v>329.12</v>
      </c>
      <c r="G37" s="7">
        <v>423.12</v>
      </c>
      <c r="H37" s="7">
        <v>408.94</v>
      </c>
      <c r="I37" s="7">
        <v>351.1</v>
      </c>
      <c r="J37" s="7">
        <v>301.68</v>
      </c>
      <c r="K37" s="7">
        <v>355.16</v>
      </c>
      <c r="L37" s="7">
        <v>320.22000000000003</v>
      </c>
      <c r="M37" s="7">
        <v>332.2</v>
      </c>
      <c r="N37" s="7">
        <v>379.22</v>
      </c>
      <c r="O37" s="7">
        <v>310.45999999999998</v>
      </c>
      <c r="P37" s="7">
        <v>188.32</v>
      </c>
      <c r="Q37" s="7">
        <v>342.54</v>
      </c>
      <c r="R37" s="7">
        <v>292.92</v>
      </c>
      <c r="S37" s="7">
        <v>435.8</v>
      </c>
      <c r="T37" s="7">
        <v>287.10000000000002</v>
      </c>
      <c r="U37" s="7">
        <v>290.3</v>
      </c>
      <c r="V37" s="7">
        <v>319</v>
      </c>
      <c r="W37" s="7">
        <v>284.5</v>
      </c>
      <c r="X37" s="7">
        <v>295.16000000000003</v>
      </c>
      <c r="Y37" s="7">
        <v>218.18</v>
      </c>
      <c r="Z37" s="7">
        <v>290.88</v>
      </c>
      <c r="AA37" s="7">
        <v>311.64</v>
      </c>
      <c r="AB37" s="7">
        <v>330.64</v>
      </c>
      <c r="AC37" s="7">
        <v>304.62</v>
      </c>
      <c r="AD37" s="7">
        <v>324.92</v>
      </c>
      <c r="AE37" s="7">
        <v>241.14</v>
      </c>
      <c r="AF37" s="7">
        <v>212.2</v>
      </c>
      <c r="AG37" s="7">
        <v>276.82</v>
      </c>
      <c r="AH37" s="7">
        <v>298.72000000000003</v>
      </c>
      <c r="AI37" s="7"/>
    </row>
    <row r="38" spans="1:35" s="3" customFormat="1" ht="26.1" customHeight="1">
      <c r="A38" s="53"/>
      <c r="B38" s="12" t="s">
        <v>67</v>
      </c>
      <c r="C38" s="7">
        <f>D38+'5月'!C38</f>
        <v>5694.02</v>
      </c>
      <c r="D38" s="7">
        <f t="shared" ref="D38:D42" si="9">SUM(E38:AI38)</f>
        <v>884.71999999999991</v>
      </c>
      <c r="E38" s="7">
        <v>21.78</v>
      </c>
      <c r="F38" s="7">
        <v>17</v>
      </c>
      <c r="G38" s="7">
        <v>19.04</v>
      </c>
      <c r="H38" s="7">
        <v>6.28</v>
      </c>
      <c r="I38" s="7">
        <v>52.8</v>
      </c>
      <c r="J38" s="7">
        <v>41.22</v>
      </c>
      <c r="K38" s="7">
        <v>63.94</v>
      </c>
      <c r="L38" s="7">
        <v>0</v>
      </c>
      <c r="M38" s="7">
        <v>54.48</v>
      </c>
      <c r="N38" s="7">
        <v>44.84</v>
      </c>
      <c r="O38" s="7">
        <v>37.04</v>
      </c>
      <c r="P38" s="7">
        <v>19.8</v>
      </c>
      <c r="Q38" s="7">
        <v>22.02</v>
      </c>
      <c r="R38" s="7">
        <v>12.1</v>
      </c>
      <c r="S38" s="7">
        <v>33.24</v>
      </c>
      <c r="T38" s="7">
        <v>65.78</v>
      </c>
      <c r="U38" s="7">
        <v>29.08</v>
      </c>
      <c r="V38" s="7">
        <v>17.399999999999999</v>
      </c>
      <c r="W38" s="7">
        <v>46.6</v>
      </c>
      <c r="X38" s="7">
        <v>18.440000000000001</v>
      </c>
      <c r="Y38" s="7">
        <v>11.58</v>
      </c>
      <c r="Z38" s="7">
        <v>30.68</v>
      </c>
      <c r="AA38" s="7">
        <v>18.86</v>
      </c>
      <c r="AB38" s="7">
        <v>42.54</v>
      </c>
      <c r="AC38" s="7">
        <v>48.78</v>
      </c>
      <c r="AD38" s="7">
        <v>38.44</v>
      </c>
      <c r="AE38" s="7">
        <v>10.88</v>
      </c>
      <c r="AF38" s="7">
        <v>40.42</v>
      </c>
      <c r="AG38" s="7">
        <v>19.66</v>
      </c>
      <c r="AH38" s="7">
        <v>0</v>
      </c>
      <c r="AI38" s="7"/>
    </row>
    <row r="39" spans="1:35" s="3" customFormat="1" ht="24.95" customHeight="1">
      <c r="A39" s="54"/>
      <c r="B39" s="6" t="s">
        <v>69</v>
      </c>
      <c r="C39" s="7">
        <f>D39+'5月'!C39</f>
        <v>23229</v>
      </c>
      <c r="D39" s="7">
        <f t="shared" si="9"/>
        <v>6110</v>
      </c>
      <c r="E39" s="7">
        <v>139</v>
      </c>
      <c r="F39" s="7">
        <v>285</v>
      </c>
      <c r="G39" s="7">
        <v>140</v>
      </c>
      <c r="H39" s="7">
        <v>121</v>
      </c>
      <c r="I39" s="7">
        <v>245</v>
      </c>
      <c r="J39" s="7">
        <v>156</v>
      </c>
      <c r="K39" s="7">
        <v>242</v>
      </c>
      <c r="L39" s="7">
        <v>157</v>
      </c>
      <c r="M39" s="7">
        <v>59</v>
      </c>
      <c r="N39" s="7">
        <v>183</v>
      </c>
      <c r="O39" s="7">
        <v>169</v>
      </c>
      <c r="P39" s="7">
        <v>234</v>
      </c>
      <c r="Q39" s="7">
        <v>62</v>
      </c>
      <c r="R39" s="7">
        <v>167</v>
      </c>
      <c r="S39" s="7">
        <v>165</v>
      </c>
      <c r="T39" s="7">
        <v>309</v>
      </c>
      <c r="U39" s="7">
        <v>231</v>
      </c>
      <c r="V39" s="7">
        <v>104</v>
      </c>
      <c r="W39" s="7">
        <v>375</v>
      </c>
      <c r="X39" s="7">
        <v>261</v>
      </c>
      <c r="Y39" s="7">
        <v>283</v>
      </c>
      <c r="Z39" s="7">
        <v>57</v>
      </c>
      <c r="AA39" s="7">
        <v>330</v>
      </c>
      <c r="AB39" s="7">
        <v>277</v>
      </c>
      <c r="AC39" s="7">
        <v>329</v>
      </c>
      <c r="AD39" s="7">
        <v>205</v>
      </c>
      <c r="AE39" s="7">
        <v>152</v>
      </c>
      <c r="AF39" s="7">
        <v>334</v>
      </c>
      <c r="AG39" s="7">
        <v>223</v>
      </c>
      <c r="AH39" s="7">
        <v>116</v>
      </c>
      <c r="AI39" s="7"/>
    </row>
    <row r="40" spans="1:35" s="3" customFormat="1" ht="24.95" customHeight="1">
      <c r="A40" s="60" t="s">
        <v>70</v>
      </c>
      <c r="B40" s="6" t="s">
        <v>71</v>
      </c>
      <c r="C40" s="7">
        <f>D40+'5月'!C40</f>
        <v>426.53600000000006</v>
      </c>
      <c r="D40" s="7">
        <f t="shared" si="9"/>
        <v>76.666000000000039</v>
      </c>
      <c r="E40" s="32">
        <v>2.5</v>
      </c>
      <c r="F40" s="32">
        <v>2.9</v>
      </c>
      <c r="G40" s="32">
        <v>2.5</v>
      </c>
      <c r="H40" s="32">
        <v>2.6</v>
      </c>
      <c r="I40" s="32">
        <v>2.8</v>
      </c>
      <c r="J40" s="32">
        <v>2.76</v>
      </c>
      <c r="K40" s="32">
        <v>2.66</v>
      </c>
      <c r="L40" s="32">
        <v>2.66</v>
      </c>
      <c r="M40" s="32">
        <v>2.39</v>
      </c>
      <c r="N40" s="32">
        <v>2.66</v>
      </c>
      <c r="O40" s="33">
        <v>1.9320000000000199</v>
      </c>
      <c r="P40" s="33">
        <v>1.9320000000000199</v>
      </c>
      <c r="Q40" s="33">
        <v>2.6680000000000001</v>
      </c>
      <c r="R40" s="33">
        <v>2.944</v>
      </c>
      <c r="S40" s="33">
        <v>2.76</v>
      </c>
      <c r="T40" s="33">
        <v>2.94</v>
      </c>
      <c r="U40" s="33">
        <v>2.5760000000000001</v>
      </c>
      <c r="V40" s="33">
        <v>2.6680000000000001</v>
      </c>
      <c r="W40" s="33">
        <v>2.5760000000000001</v>
      </c>
      <c r="X40" s="33">
        <v>2.2999999999999998</v>
      </c>
      <c r="Y40" s="32">
        <v>2.484</v>
      </c>
      <c r="Z40" s="32">
        <v>2.3919999999999999</v>
      </c>
      <c r="AA40" s="32">
        <v>2.3919999999999999</v>
      </c>
      <c r="AB40" s="32">
        <v>2.484</v>
      </c>
      <c r="AC40" s="32">
        <v>2.5760000000000001</v>
      </c>
      <c r="AD40" s="32">
        <v>2.5760000000000001</v>
      </c>
      <c r="AE40" s="32">
        <v>2.6680000000000001</v>
      </c>
      <c r="AF40" s="32">
        <v>2.6760000000000002</v>
      </c>
      <c r="AG40" s="32">
        <v>2.3919999999999999</v>
      </c>
      <c r="AH40" s="32">
        <v>2.2999999999999998</v>
      </c>
      <c r="AI40" s="7"/>
    </row>
    <row r="41" spans="1:35" s="3" customFormat="1" ht="24.95" customHeight="1">
      <c r="A41" s="60"/>
      <c r="B41" s="6" t="s">
        <v>72</v>
      </c>
      <c r="C41" s="7">
        <f>D41+'5月'!C41</f>
        <v>1894.7200000000009</v>
      </c>
      <c r="D41" s="7">
        <f t="shared" si="9"/>
        <v>328.22000000000025</v>
      </c>
      <c r="E41" s="33">
        <v>6.8</v>
      </c>
      <c r="F41" s="33">
        <v>7.5</v>
      </c>
      <c r="G41" s="33">
        <v>7.59</v>
      </c>
      <c r="H41" s="33">
        <v>10.409999999999799</v>
      </c>
      <c r="I41" s="33">
        <v>12.09</v>
      </c>
      <c r="J41" s="33">
        <v>15.93</v>
      </c>
      <c r="K41" s="33">
        <v>13.04</v>
      </c>
      <c r="L41" s="33">
        <v>14.52</v>
      </c>
      <c r="M41" s="33">
        <v>12.25</v>
      </c>
      <c r="N41" s="33">
        <v>12.09</v>
      </c>
      <c r="O41" s="32">
        <v>8.9999999999996199</v>
      </c>
      <c r="P41" s="32">
        <v>10.2199999999998</v>
      </c>
      <c r="Q41" s="32">
        <v>11.62</v>
      </c>
      <c r="R41" s="32">
        <v>11.5</v>
      </c>
      <c r="S41" s="32">
        <v>11.58</v>
      </c>
      <c r="T41" s="32">
        <v>12.55</v>
      </c>
      <c r="U41" s="32">
        <v>13.19</v>
      </c>
      <c r="V41" s="32">
        <v>10.16</v>
      </c>
      <c r="W41" s="32">
        <v>12.5999999999999</v>
      </c>
      <c r="X41" s="32">
        <v>11.1699999999999</v>
      </c>
      <c r="Y41" s="32">
        <v>10.7</v>
      </c>
      <c r="Z41" s="32">
        <v>9.49</v>
      </c>
      <c r="AA41" s="32">
        <v>12.54</v>
      </c>
      <c r="AB41" s="32">
        <v>11.48</v>
      </c>
      <c r="AC41" s="32">
        <v>10.93</v>
      </c>
      <c r="AD41" s="32">
        <v>10.29</v>
      </c>
      <c r="AE41" s="32">
        <v>9.6600000000000605</v>
      </c>
      <c r="AF41" s="32">
        <v>10.5500000000011</v>
      </c>
      <c r="AG41" s="32">
        <v>8.19</v>
      </c>
      <c r="AH41" s="32">
        <v>8.58</v>
      </c>
      <c r="AI41" s="7"/>
    </row>
    <row r="42" spans="1:35" s="3" customFormat="1" ht="24.95" customHeight="1">
      <c r="A42" s="60"/>
      <c r="B42" s="6" t="s">
        <v>73</v>
      </c>
      <c r="C42" s="7">
        <f>D42+'5月'!C42</f>
        <v>128.38000000000002</v>
      </c>
      <c r="D42" s="7">
        <f t="shared" si="9"/>
        <v>21.68</v>
      </c>
      <c r="E42" s="33">
        <v>0.8</v>
      </c>
      <c r="F42" s="33">
        <v>0.7</v>
      </c>
      <c r="G42" s="33">
        <v>0.7</v>
      </c>
      <c r="H42" s="33">
        <v>0.8</v>
      </c>
      <c r="I42" s="33">
        <v>0.8</v>
      </c>
      <c r="J42" s="33">
        <v>0.8</v>
      </c>
      <c r="K42" s="33">
        <v>0.8</v>
      </c>
      <c r="L42" s="33">
        <v>0.7</v>
      </c>
      <c r="M42" s="33">
        <v>0.7</v>
      </c>
      <c r="N42" s="33">
        <v>0.7</v>
      </c>
      <c r="O42" s="32">
        <v>0.49999999999997202</v>
      </c>
      <c r="P42" s="32">
        <v>0.7</v>
      </c>
      <c r="Q42" s="32">
        <v>0.8</v>
      </c>
      <c r="R42" s="32">
        <v>0.8</v>
      </c>
      <c r="S42" s="32">
        <v>0.75</v>
      </c>
      <c r="T42" s="32">
        <v>0.72</v>
      </c>
      <c r="U42" s="32">
        <v>0.67</v>
      </c>
      <c r="V42" s="32">
        <v>0.75</v>
      </c>
      <c r="W42" s="32">
        <v>0.71000000000000796</v>
      </c>
      <c r="X42" s="32">
        <v>0.67000000000001603</v>
      </c>
      <c r="Y42" s="32">
        <v>0.68</v>
      </c>
      <c r="Z42" s="32">
        <v>0.66</v>
      </c>
      <c r="AA42" s="32">
        <v>0.67</v>
      </c>
      <c r="AB42" s="32">
        <v>0.73</v>
      </c>
      <c r="AC42" s="32">
        <v>0.8</v>
      </c>
      <c r="AD42" s="32">
        <v>0.82</v>
      </c>
      <c r="AE42" s="32">
        <v>0.71</v>
      </c>
      <c r="AF42" s="32">
        <v>0.65</v>
      </c>
      <c r="AG42" s="32">
        <v>0.7</v>
      </c>
      <c r="AH42" s="32">
        <v>0.69</v>
      </c>
      <c r="AI42" s="7"/>
    </row>
    <row r="43" spans="1:35" s="1" customFormat="1" ht="18" customHeight="1">
      <c r="B43" s="20" t="s">
        <v>74</v>
      </c>
      <c r="C43" s="21">
        <f>C37/C5</f>
        <v>0.2454627064340881</v>
      </c>
      <c r="D43" s="21">
        <f>D37/D5</f>
        <v>0.23357468716766222</v>
      </c>
      <c r="G43" s="22"/>
    </row>
    <row r="44" spans="1:35" s="1" customFormat="1" ht="18" customHeight="1">
      <c r="B44" s="23" t="s">
        <v>75</v>
      </c>
      <c r="C44" s="24">
        <f>C38/C5</f>
        <v>2.4480679506295133E-2</v>
      </c>
      <c r="D44" s="24">
        <f>D38/D5</f>
        <v>2.1983242722113439E-2</v>
      </c>
      <c r="G44" s="22"/>
    </row>
    <row r="45" spans="1:35" s="1" customFormat="1" ht="18" customHeight="1">
      <c r="B45" s="23" t="s">
        <v>76</v>
      </c>
      <c r="C45" s="24">
        <f>C39/C5</f>
        <v>9.9869987153492532E-2</v>
      </c>
      <c r="D45" s="24">
        <f>D39/D5</f>
        <v>0.15181934740043532</v>
      </c>
      <c r="G45" s="22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</sheetData>
  <mergeCells count="10">
    <mergeCell ref="A16:A18"/>
    <mergeCell ref="A40:A42"/>
    <mergeCell ref="A1:B1"/>
    <mergeCell ref="C1:AI1"/>
    <mergeCell ref="A3:A5"/>
    <mergeCell ref="A6:A8"/>
    <mergeCell ref="A9:A12"/>
    <mergeCell ref="A13:A15"/>
    <mergeCell ref="A20:A36"/>
    <mergeCell ref="A37:A39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AI68"/>
  <sheetViews>
    <sheetView topLeftCell="A28" workbookViewId="0">
      <pane xSplit="4" topLeftCell="P1" activePane="topRight" state="frozen"/>
      <selection pane="topRight" activeCell="A37" sqref="A37:A39"/>
    </sheetView>
  </sheetViews>
  <sheetFormatPr defaultColWidth="9" defaultRowHeight="13.5"/>
  <cols>
    <col min="1" max="1" width="8.75" style="4" customWidth="1"/>
    <col min="2" max="2" width="14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11.25" style="4" customWidth="1"/>
    <col min="35" max="35" width="9" style="4" customWidth="1"/>
    <col min="36" max="16384" width="9" style="4"/>
  </cols>
  <sheetData>
    <row r="1" spans="1:35" s="1" customFormat="1" ht="42.75" customHeight="1">
      <c r="A1" s="57">
        <v>44378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D3+'6月'!C3</f>
        <v>132088.00000000003</v>
      </c>
      <c r="D3" s="7">
        <f t="shared" ref="D3:D9" si="0">SUM(E3:AI3)</f>
        <v>19797.099999999995</v>
      </c>
      <c r="E3" s="7">
        <v>624.9</v>
      </c>
      <c r="F3" s="7">
        <v>624.70000000000005</v>
      </c>
      <c r="G3" s="7">
        <v>661.2</v>
      </c>
      <c r="H3" s="7">
        <v>640.20000000000005</v>
      </c>
      <c r="I3" s="7">
        <v>598.1</v>
      </c>
      <c r="J3" s="7">
        <v>627.9</v>
      </c>
      <c r="K3" s="7">
        <v>648</v>
      </c>
      <c r="L3" s="7">
        <v>607</v>
      </c>
      <c r="M3" s="7">
        <v>671.5</v>
      </c>
      <c r="N3" s="7">
        <v>635.9</v>
      </c>
      <c r="O3" s="7">
        <v>665.5</v>
      </c>
      <c r="P3" s="7">
        <v>634.20000000000005</v>
      </c>
      <c r="Q3" s="7">
        <v>620.5</v>
      </c>
      <c r="R3" s="7">
        <v>600.79999999999995</v>
      </c>
      <c r="S3" s="7">
        <v>625</v>
      </c>
      <c r="T3" s="7">
        <v>613.79999999999995</v>
      </c>
      <c r="U3" s="7">
        <v>637.9</v>
      </c>
      <c r="V3" s="7">
        <v>619</v>
      </c>
      <c r="W3" s="7">
        <v>629.79999999999995</v>
      </c>
      <c r="X3" s="7">
        <v>653.70000000000005</v>
      </c>
      <c r="Y3" s="7">
        <v>605.1</v>
      </c>
      <c r="Z3" s="7">
        <v>625.29999999999995</v>
      </c>
      <c r="AA3" s="7">
        <v>646.1</v>
      </c>
      <c r="AB3" s="7">
        <v>639.4</v>
      </c>
      <c r="AC3" s="7">
        <v>642.9</v>
      </c>
      <c r="AD3" s="7">
        <v>616</v>
      </c>
      <c r="AE3" s="7">
        <v>623.6</v>
      </c>
      <c r="AF3" s="7">
        <v>653.20000000000005</v>
      </c>
      <c r="AG3" s="7">
        <v>770.5</v>
      </c>
      <c r="AH3" s="7">
        <v>679.5</v>
      </c>
      <c r="AI3" s="29">
        <v>655.9</v>
      </c>
    </row>
    <row r="4" spans="1:35" s="3" customFormat="1" ht="26.25" customHeight="1">
      <c r="A4" s="51"/>
      <c r="B4" s="7" t="s">
        <v>37</v>
      </c>
      <c r="C4" s="7">
        <f>D4+'6月'!C4</f>
        <v>141254.9</v>
      </c>
      <c r="D4" s="7">
        <f t="shared" si="0"/>
        <v>20953.399999999994</v>
      </c>
      <c r="E4" s="7">
        <v>667.4</v>
      </c>
      <c r="F4" s="7">
        <v>677.5</v>
      </c>
      <c r="G4" s="7">
        <v>697.9</v>
      </c>
      <c r="H4" s="7">
        <v>671.5</v>
      </c>
      <c r="I4" s="7">
        <v>659.7</v>
      </c>
      <c r="J4" s="7">
        <v>658.8</v>
      </c>
      <c r="K4" s="7">
        <v>688</v>
      </c>
      <c r="L4" s="7">
        <v>692.3</v>
      </c>
      <c r="M4" s="7">
        <v>680.8</v>
      </c>
      <c r="N4" s="7">
        <v>670.4</v>
      </c>
      <c r="O4" s="7">
        <v>717.9</v>
      </c>
      <c r="P4" s="7">
        <v>635.79999999999995</v>
      </c>
      <c r="Q4" s="7">
        <v>712.5</v>
      </c>
      <c r="R4" s="7">
        <v>633.9</v>
      </c>
      <c r="S4" s="7">
        <v>695.8</v>
      </c>
      <c r="T4" s="7">
        <v>700.2</v>
      </c>
      <c r="U4" s="7">
        <v>661.3</v>
      </c>
      <c r="V4" s="7">
        <v>656</v>
      </c>
      <c r="W4" s="7">
        <v>663.9</v>
      </c>
      <c r="X4" s="7">
        <v>665.7</v>
      </c>
      <c r="Y4" s="7">
        <v>649.4</v>
      </c>
      <c r="Z4" s="7">
        <v>670.6</v>
      </c>
      <c r="AA4" s="7">
        <v>676.6</v>
      </c>
      <c r="AB4" s="7">
        <v>694.4</v>
      </c>
      <c r="AC4" s="7">
        <v>698.3</v>
      </c>
      <c r="AD4" s="7">
        <v>659.1</v>
      </c>
      <c r="AE4" s="7">
        <v>671.8</v>
      </c>
      <c r="AF4" s="7">
        <v>634.70000000000005</v>
      </c>
      <c r="AG4" s="29">
        <v>716.5</v>
      </c>
      <c r="AH4" s="7">
        <v>704.1</v>
      </c>
      <c r="AI4" s="7">
        <v>670.6</v>
      </c>
    </row>
    <row r="5" spans="1:35" s="3" customFormat="1" ht="24.95" customHeight="1">
      <c r="A5" s="51"/>
      <c r="B5" s="7" t="s">
        <v>38</v>
      </c>
      <c r="C5" s="7">
        <f>D5+'6月'!C5</f>
        <v>273342.90000000002</v>
      </c>
      <c r="D5" s="7">
        <f t="shared" si="0"/>
        <v>40750.500000000007</v>
      </c>
      <c r="E5" s="7">
        <f>E3+E4</f>
        <v>1292.3</v>
      </c>
      <c r="F5" s="7">
        <f t="shared" ref="F5:AI5" si="1">F3+F4</f>
        <v>1302.2</v>
      </c>
      <c r="G5" s="7">
        <f t="shared" si="1"/>
        <v>1359.1</v>
      </c>
      <c r="H5" s="7">
        <f t="shared" si="1"/>
        <v>1311.7</v>
      </c>
      <c r="I5" s="7">
        <f t="shared" si="1"/>
        <v>1257.8000000000002</v>
      </c>
      <c r="J5" s="7">
        <f t="shared" si="1"/>
        <v>1286.6999999999998</v>
      </c>
      <c r="K5" s="7">
        <f t="shared" si="1"/>
        <v>1336</v>
      </c>
      <c r="L5" s="7">
        <f t="shared" si="1"/>
        <v>1299.3</v>
      </c>
      <c r="M5" s="7">
        <f t="shared" si="1"/>
        <v>1352.3</v>
      </c>
      <c r="N5" s="7">
        <f t="shared" si="1"/>
        <v>1306.3</v>
      </c>
      <c r="O5" s="7">
        <f t="shared" si="1"/>
        <v>1383.4</v>
      </c>
      <c r="P5" s="7">
        <f t="shared" si="1"/>
        <v>1270</v>
      </c>
      <c r="Q5" s="7">
        <f t="shared" si="1"/>
        <v>1333</v>
      </c>
      <c r="R5" s="7">
        <f t="shared" si="1"/>
        <v>1234.6999999999998</v>
      </c>
      <c r="S5" s="7">
        <f t="shared" si="1"/>
        <v>1320.8</v>
      </c>
      <c r="T5" s="7">
        <f t="shared" si="1"/>
        <v>1314</v>
      </c>
      <c r="U5" s="7">
        <f t="shared" si="1"/>
        <v>1299.1999999999998</v>
      </c>
      <c r="V5" s="7">
        <f t="shared" si="1"/>
        <v>1275</v>
      </c>
      <c r="W5" s="7">
        <f t="shared" si="1"/>
        <v>1293.6999999999998</v>
      </c>
      <c r="X5" s="7">
        <f t="shared" si="1"/>
        <v>1319.4</v>
      </c>
      <c r="Y5" s="7">
        <f t="shared" si="1"/>
        <v>1254.5</v>
      </c>
      <c r="Z5" s="7">
        <f t="shared" si="1"/>
        <v>1295.9000000000001</v>
      </c>
      <c r="AA5" s="7">
        <f t="shared" si="1"/>
        <v>1322.7</v>
      </c>
      <c r="AB5" s="7">
        <f t="shared" si="1"/>
        <v>1333.8</v>
      </c>
      <c r="AC5" s="7">
        <f t="shared" si="1"/>
        <v>1341.1999999999998</v>
      </c>
      <c r="AD5" s="7">
        <f t="shared" si="1"/>
        <v>1275.0999999999999</v>
      </c>
      <c r="AE5" s="7">
        <f t="shared" si="1"/>
        <v>1295.4000000000001</v>
      </c>
      <c r="AF5" s="7">
        <f t="shared" si="1"/>
        <v>1287.9000000000001</v>
      </c>
      <c r="AG5" s="7">
        <f t="shared" si="1"/>
        <v>1487</v>
      </c>
      <c r="AH5" s="7">
        <f t="shared" si="1"/>
        <v>1383.6</v>
      </c>
      <c r="AI5" s="7">
        <f t="shared" si="1"/>
        <v>1326.5</v>
      </c>
    </row>
    <row r="6" spans="1:35" s="3" customFormat="1" ht="24.95" customHeight="1">
      <c r="A6" s="51" t="s">
        <v>39</v>
      </c>
      <c r="B6" s="7" t="s">
        <v>40</v>
      </c>
      <c r="C6" s="7">
        <f>D6+'6月'!C6</f>
        <v>65388000</v>
      </c>
      <c r="D6" s="7">
        <f t="shared" si="0"/>
        <v>10458000</v>
      </c>
      <c r="E6" s="7">
        <v>332000</v>
      </c>
      <c r="F6" s="7">
        <v>332000</v>
      </c>
      <c r="G6" s="7">
        <v>334000</v>
      </c>
      <c r="H6" s="7">
        <v>332000</v>
      </c>
      <c r="I6" s="7">
        <v>332000</v>
      </c>
      <c r="J6" s="7">
        <v>334000</v>
      </c>
      <c r="K6" s="7">
        <v>334000</v>
      </c>
      <c r="L6" s="7">
        <v>334000</v>
      </c>
      <c r="M6" s="7">
        <v>336000</v>
      </c>
      <c r="N6" s="7">
        <v>336000</v>
      </c>
      <c r="O6" s="7">
        <v>342000</v>
      </c>
      <c r="P6" s="26">
        <v>338000</v>
      </c>
      <c r="Q6" s="7">
        <v>340000</v>
      </c>
      <c r="R6" s="7">
        <v>320000</v>
      </c>
      <c r="S6" s="7">
        <v>328000</v>
      </c>
      <c r="T6" s="7">
        <v>340000</v>
      </c>
      <c r="U6" s="26">
        <v>336000</v>
      </c>
      <c r="V6" s="26">
        <v>338000</v>
      </c>
      <c r="W6" s="7">
        <v>340000</v>
      </c>
      <c r="X6" s="7">
        <v>340000</v>
      </c>
      <c r="Y6" s="7">
        <v>338000</v>
      </c>
      <c r="Z6" s="7">
        <v>336000</v>
      </c>
      <c r="AA6" s="7">
        <v>336000</v>
      </c>
      <c r="AB6" s="7">
        <v>332000</v>
      </c>
      <c r="AC6" s="7">
        <v>336000</v>
      </c>
      <c r="AD6" s="7">
        <v>330000</v>
      </c>
      <c r="AE6" s="7">
        <v>342000</v>
      </c>
      <c r="AF6" s="7">
        <v>356000</v>
      </c>
      <c r="AG6" s="7">
        <v>358000</v>
      </c>
      <c r="AH6" s="7">
        <v>346000</v>
      </c>
      <c r="AI6" s="7">
        <v>350000</v>
      </c>
    </row>
    <row r="7" spans="1:35" s="3" customFormat="1" ht="24.95" customHeight="1">
      <c r="A7" s="51"/>
      <c r="B7" s="7" t="s">
        <v>41</v>
      </c>
      <c r="C7" s="7">
        <f>D7+'6月'!C7</f>
        <v>73138000</v>
      </c>
      <c r="D7" s="7">
        <f t="shared" si="0"/>
        <v>10714000</v>
      </c>
      <c r="E7" s="7">
        <v>346000</v>
      </c>
      <c r="F7" s="7">
        <v>340000</v>
      </c>
      <c r="G7" s="7">
        <v>346000</v>
      </c>
      <c r="H7" s="7">
        <v>344000</v>
      </c>
      <c r="I7" s="7">
        <v>346000</v>
      </c>
      <c r="J7" s="7">
        <v>346000</v>
      </c>
      <c r="K7" s="7">
        <v>348000</v>
      </c>
      <c r="L7" s="7">
        <v>350000</v>
      </c>
      <c r="M7" s="7">
        <v>344000</v>
      </c>
      <c r="N7" s="7">
        <v>350000</v>
      </c>
      <c r="O7" s="7">
        <v>350000</v>
      </c>
      <c r="P7" s="26">
        <v>344000</v>
      </c>
      <c r="Q7" s="7">
        <v>348000</v>
      </c>
      <c r="R7" s="7">
        <v>332000</v>
      </c>
      <c r="S7" s="7">
        <v>338000</v>
      </c>
      <c r="T7" s="7">
        <v>348000</v>
      </c>
      <c r="U7" s="7">
        <v>346000</v>
      </c>
      <c r="V7" s="7">
        <v>346000</v>
      </c>
      <c r="W7" s="7">
        <v>342000</v>
      </c>
      <c r="X7" s="7">
        <v>350000</v>
      </c>
      <c r="Y7" s="7">
        <v>346000</v>
      </c>
      <c r="Z7" s="7">
        <v>336000</v>
      </c>
      <c r="AA7" s="7">
        <v>352000</v>
      </c>
      <c r="AB7" s="7">
        <v>338000</v>
      </c>
      <c r="AC7" s="7">
        <v>346000</v>
      </c>
      <c r="AD7" s="7">
        <v>334000</v>
      </c>
      <c r="AE7" s="7">
        <v>348000</v>
      </c>
      <c r="AF7" s="7">
        <v>354000</v>
      </c>
      <c r="AG7" s="7">
        <v>354000</v>
      </c>
      <c r="AH7" s="7">
        <v>350000</v>
      </c>
      <c r="AI7" s="26">
        <v>352000</v>
      </c>
    </row>
    <row r="8" spans="1:35" s="3" customFormat="1" ht="24.95" customHeight="1">
      <c r="A8" s="51"/>
      <c r="B8" s="7" t="s">
        <v>38</v>
      </c>
      <c r="C8" s="7">
        <f>D8+'6月'!C8</f>
        <v>138526000</v>
      </c>
      <c r="D8" s="7">
        <f t="shared" si="0"/>
        <v>21172000</v>
      </c>
      <c r="E8" s="7">
        <f>E6+E7</f>
        <v>678000</v>
      </c>
      <c r="F8" s="7">
        <f t="shared" ref="F8:AI8" si="2">F6+F7</f>
        <v>672000</v>
      </c>
      <c r="G8" s="7">
        <f t="shared" si="2"/>
        <v>680000</v>
      </c>
      <c r="H8" s="7">
        <f t="shared" si="2"/>
        <v>676000</v>
      </c>
      <c r="I8" s="7">
        <f t="shared" si="2"/>
        <v>678000</v>
      </c>
      <c r="J8" s="7">
        <f t="shared" si="2"/>
        <v>680000</v>
      </c>
      <c r="K8" s="7">
        <f t="shared" si="2"/>
        <v>682000</v>
      </c>
      <c r="L8" s="7">
        <f t="shared" si="2"/>
        <v>684000</v>
      </c>
      <c r="M8" s="7">
        <f t="shared" si="2"/>
        <v>680000</v>
      </c>
      <c r="N8" s="7">
        <f t="shared" si="2"/>
        <v>686000</v>
      </c>
      <c r="O8" s="7">
        <f t="shared" si="2"/>
        <v>692000</v>
      </c>
      <c r="P8" s="7">
        <f t="shared" si="2"/>
        <v>682000</v>
      </c>
      <c r="Q8" s="7">
        <f t="shared" si="2"/>
        <v>688000</v>
      </c>
      <c r="R8" s="7">
        <f t="shared" si="2"/>
        <v>652000</v>
      </c>
      <c r="S8" s="7">
        <f t="shared" si="2"/>
        <v>666000</v>
      </c>
      <c r="T8" s="7">
        <f t="shared" si="2"/>
        <v>688000</v>
      </c>
      <c r="U8" s="7">
        <f t="shared" si="2"/>
        <v>682000</v>
      </c>
      <c r="V8" s="7">
        <f t="shared" si="2"/>
        <v>684000</v>
      </c>
      <c r="W8" s="7">
        <f t="shared" si="2"/>
        <v>682000</v>
      </c>
      <c r="X8" s="7">
        <f t="shared" si="2"/>
        <v>690000</v>
      </c>
      <c r="Y8" s="7">
        <f t="shared" si="2"/>
        <v>684000</v>
      </c>
      <c r="Z8" s="7">
        <f t="shared" si="2"/>
        <v>672000</v>
      </c>
      <c r="AA8" s="7">
        <f t="shared" si="2"/>
        <v>688000</v>
      </c>
      <c r="AB8" s="7">
        <f t="shared" si="2"/>
        <v>670000</v>
      </c>
      <c r="AC8" s="7">
        <f t="shared" si="2"/>
        <v>682000</v>
      </c>
      <c r="AD8" s="7">
        <f t="shared" si="2"/>
        <v>664000</v>
      </c>
      <c r="AE8" s="7">
        <f t="shared" si="2"/>
        <v>690000</v>
      </c>
      <c r="AF8" s="7">
        <f t="shared" si="2"/>
        <v>710000</v>
      </c>
      <c r="AG8" s="7">
        <f t="shared" si="2"/>
        <v>712000</v>
      </c>
      <c r="AH8" s="7">
        <f t="shared" si="2"/>
        <v>696000</v>
      </c>
      <c r="AI8" s="7">
        <f t="shared" si="2"/>
        <v>702000</v>
      </c>
    </row>
    <row r="9" spans="1:35" s="3" customFormat="1" ht="24.95" customHeight="1">
      <c r="A9" s="51" t="s">
        <v>42</v>
      </c>
      <c r="B9" s="7" t="s">
        <v>38</v>
      </c>
      <c r="C9" s="7">
        <f>D9+'6月'!C9</f>
        <v>119552000</v>
      </c>
      <c r="D9" s="7">
        <f t="shared" si="0"/>
        <v>18144000</v>
      </c>
      <c r="E9" s="7">
        <v>580000</v>
      </c>
      <c r="F9" s="7">
        <v>578000</v>
      </c>
      <c r="G9" s="7">
        <v>580000</v>
      </c>
      <c r="H9" s="7">
        <v>576000</v>
      </c>
      <c r="I9" s="7">
        <v>584000</v>
      </c>
      <c r="J9" s="7">
        <v>582000</v>
      </c>
      <c r="K9" s="7">
        <v>584000</v>
      </c>
      <c r="L9" s="7">
        <v>588000</v>
      </c>
      <c r="M9" s="7">
        <v>584000</v>
      </c>
      <c r="N9" s="7">
        <v>586000</v>
      </c>
      <c r="O9" s="7">
        <v>592000</v>
      </c>
      <c r="P9" s="7">
        <v>588000</v>
      </c>
      <c r="Q9" s="7">
        <v>590000</v>
      </c>
      <c r="R9" s="7">
        <v>562000</v>
      </c>
      <c r="S9" s="7">
        <v>570000</v>
      </c>
      <c r="T9" s="7">
        <v>586000</v>
      </c>
      <c r="U9" s="7">
        <v>586000</v>
      </c>
      <c r="V9" s="7">
        <v>588000</v>
      </c>
      <c r="W9" s="7">
        <v>582000</v>
      </c>
      <c r="X9" s="7">
        <v>592000</v>
      </c>
      <c r="Y9" s="7">
        <v>590000</v>
      </c>
      <c r="Z9" s="7">
        <v>574000</v>
      </c>
      <c r="AA9" s="7">
        <v>588000</v>
      </c>
      <c r="AB9" s="7">
        <v>572000</v>
      </c>
      <c r="AC9" s="7">
        <v>584000</v>
      </c>
      <c r="AD9" s="7">
        <v>570000</v>
      </c>
      <c r="AE9" s="7">
        <v>590000</v>
      </c>
      <c r="AF9" s="7">
        <v>610000</v>
      </c>
      <c r="AG9" s="7">
        <v>612000</v>
      </c>
      <c r="AH9" s="7">
        <v>594000</v>
      </c>
      <c r="AI9" s="7">
        <v>602000</v>
      </c>
    </row>
    <row r="10" spans="1:35" s="3" customFormat="1" ht="24.95" customHeight="1">
      <c r="A10" s="51"/>
      <c r="B10" s="6" t="s">
        <v>43</v>
      </c>
      <c r="C10" s="8">
        <f>C8/C5</f>
        <v>506.78470155983558</v>
      </c>
      <c r="D10" s="8">
        <f>D8/D5</f>
        <v>519.55190733856023</v>
      </c>
      <c r="E10" s="8">
        <f t="shared" ref="E10:AI10" si="3">E8/E5</f>
        <v>524.64598003559547</v>
      </c>
      <c r="F10" s="8">
        <f t="shared" si="3"/>
        <v>516.04976194133008</v>
      </c>
      <c r="G10" s="8">
        <f t="shared" si="3"/>
        <v>500.33110146420427</v>
      </c>
      <c r="H10" s="8">
        <f t="shared" si="3"/>
        <v>515.36174430128835</v>
      </c>
      <c r="I10" s="8">
        <f t="shared" si="3"/>
        <v>539.0364127842264</v>
      </c>
      <c r="J10" s="8">
        <f t="shared" si="3"/>
        <v>528.48371803839291</v>
      </c>
      <c r="K10" s="8">
        <f t="shared" si="3"/>
        <v>510.47904191616766</v>
      </c>
      <c r="L10" s="8">
        <f t="shared" si="3"/>
        <v>526.43731239898409</v>
      </c>
      <c r="M10" s="8">
        <f t="shared" si="3"/>
        <v>502.84700140501371</v>
      </c>
      <c r="N10" s="8">
        <f t="shared" si="3"/>
        <v>525.14736278037208</v>
      </c>
      <c r="O10" s="8">
        <f t="shared" ref="O10" si="4">O8/O5</f>
        <v>500.21685701893881</v>
      </c>
      <c r="P10" s="8">
        <f t="shared" si="3"/>
        <v>537.00787401574803</v>
      </c>
      <c r="Q10" s="8">
        <f t="shared" si="3"/>
        <v>516.12903225806451</v>
      </c>
      <c r="R10" s="8">
        <f t="shared" si="3"/>
        <v>528.06349720579908</v>
      </c>
      <c r="S10" s="8">
        <f t="shared" si="3"/>
        <v>504.23985463355541</v>
      </c>
      <c r="T10" s="8">
        <f t="shared" si="3"/>
        <v>523.59208523592088</v>
      </c>
      <c r="U10" s="8">
        <f t="shared" si="3"/>
        <v>524.93842364532031</v>
      </c>
      <c r="V10" s="8">
        <f t="shared" si="3"/>
        <v>536.47058823529414</v>
      </c>
      <c r="W10" s="8">
        <f t="shared" si="3"/>
        <v>527.17013217902149</v>
      </c>
      <c r="X10" s="8">
        <f t="shared" si="3"/>
        <v>522.96498408367438</v>
      </c>
      <c r="Y10" s="8">
        <f t="shared" si="3"/>
        <v>545.23714627341565</v>
      </c>
      <c r="Z10" s="8">
        <f t="shared" si="3"/>
        <v>518.5585307508295</v>
      </c>
      <c r="AA10" s="8">
        <f t="shared" si="3"/>
        <v>520.14818174945185</v>
      </c>
      <c r="AB10" s="8">
        <f t="shared" si="3"/>
        <v>502.32418653471285</v>
      </c>
      <c r="AC10" s="8">
        <f t="shared" si="3"/>
        <v>508.49985087980917</v>
      </c>
      <c r="AD10" s="8">
        <f t="shared" si="3"/>
        <v>520.7434711003059</v>
      </c>
      <c r="AE10" s="8">
        <f t="shared" si="3"/>
        <v>532.65400648448349</v>
      </c>
      <c r="AF10" s="8">
        <f t="shared" si="3"/>
        <v>551.28503765820324</v>
      </c>
      <c r="AG10" s="8">
        <f t="shared" si="3"/>
        <v>478.81640887693345</v>
      </c>
      <c r="AH10" s="8">
        <f t="shared" si="3"/>
        <v>503.03555941023421</v>
      </c>
      <c r="AI10" s="8">
        <f t="shared" si="3"/>
        <v>529.2122125895213</v>
      </c>
    </row>
    <row r="11" spans="1:35" s="3" customFormat="1" ht="24.95" customHeight="1">
      <c r="A11" s="51"/>
      <c r="B11" s="9" t="s">
        <v>44</v>
      </c>
      <c r="C11" s="8">
        <f>(C8-C16)/C5</f>
        <v>437.36274108454978</v>
      </c>
      <c r="D11" s="8">
        <f>(D8-D16)/D5</f>
        <v>445.24607060036067</v>
      </c>
      <c r="E11" s="8">
        <f>(E8-E16)/E5</f>
        <v>448.81219531068638</v>
      </c>
      <c r="F11" s="8">
        <f>(F8-F16)/F5</f>
        <v>443.86422976501302</v>
      </c>
      <c r="G11" s="8">
        <f>(G8-G16)/G5</f>
        <v>426.75299830770365</v>
      </c>
      <c r="H11" s="8">
        <f>(H8-H16)/H5</f>
        <v>439.12479987802089</v>
      </c>
      <c r="I11" s="8">
        <f>(I8-I16)/I5</f>
        <v>464.30275083479086</v>
      </c>
      <c r="J11" s="8">
        <f>(J8-J16)/J5</f>
        <v>452.31988808580093</v>
      </c>
      <c r="K11" s="8">
        <f>(K8-K16)/K5</f>
        <v>437.12574850299399</v>
      </c>
      <c r="L11" s="8">
        <f>(L8-L16)/L5</f>
        <v>452.55137381667055</v>
      </c>
      <c r="M11" s="8">
        <f>(M8-M16)/M5</f>
        <v>431.85683650077647</v>
      </c>
      <c r="N11" s="8">
        <f>(N8-N16)/N5</f>
        <v>448.5952690806094</v>
      </c>
      <c r="O11" s="8">
        <f>(O8-O16)/O5</f>
        <v>427.9311840393234</v>
      </c>
      <c r="P11" s="8">
        <f>(P8-P16)/P5</f>
        <v>462.99212598425197</v>
      </c>
      <c r="Q11" s="8">
        <f>(Q8-Q16)/Q5</f>
        <v>442.61065266316581</v>
      </c>
      <c r="R11" s="8">
        <f>(R8-R16)/R5</f>
        <v>455.17129667125624</v>
      </c>
      <c r="S11" s="8">
        <f>(S8-S16)/S5</f>
        <v>431.55663234403391</v>
      </c>
      <c r="T11" s="8">
        <f>(T8-T16)/T5</f>
        <v>445.96651445966512</v>
      </c>
      <c r="U11" s="8">
        <f>(U8-U16)/U5</f>
        <v>451.04679802955673</v>
      </c>
      <c r="V11" s="8">
        <f>(V8-V16)/V5</f>
        <v>461.1764705882353</v>
      </c>
      <c r="W11" s="8">
        <f>(W8-W16)/W5</f>
        <v>449.87245883898902</v>
      </c>
      <c r="X11" s="8">
        <f>(X8-X16)/X5</f>
        <v>448.68879793845684</v>
      </c>
      <c r="Y11" s="8">
        <f>(Y8-Y16)/Y5</f>
        <v>470.30689517736153</v>
      </c>
      <c r="Z11" s="8">
        <f>(Z8-Z16)/Z5</f>
        <v>442.93541168300021</v>
      </c>
      <c r="AA11" s="8">
        <f>(AA8-AA16)/AA5</f>
        <v>444.5452483556362</v>
      </c>
      <c r="AB11" s="8">
        <f>(AB8-AB16)/AB5</f>
        <v>428.84990253411308</v>
      </c>
      <c r="AC11" s="8">
        <f>(AC8-AC16)/AC5</f>
        <v>435.43095735162547</v>
      </c>
      <c r="AD11" s="8">
        <f>(AD8-AD16)/AD5</f>
        <v>447.02376284213005</v>
      </c>
      <c r="AE11" s="8">
        <f>(AE8-AE16)/AE5</f>
        <v>455.45777366064533</v>
      </c>
      <c r="AF11" s="8">
        <f>(AF8-AF16)/AF5</f>
        <v>473.63925770634364</v>
      </c>
      <c r="AG11" s="8">
        <f>(AG8-AG16)/AG5</f>
        <v>411.56691324815063</v>
      </c>
      <c r="AH11" s="8">
        <f>(AH8-AH16)/AH5</f>
        <v>429.31483087597576</v>
      </c>
      <c r="AI11" s="8">
        <f>(AI8-AI16)/AI5</f>
        <v>453.82585751978894</v>
      </c>
    </row>
    <row r="12" spans="1:35" s="3" customFormat="1" ht="24.95" customHeight="1">
      <c r="A12" s="51"/>
      <c r="B12" s="6" t="s">
        <v>45</v>
      </c>
      <c r="C12" s="8">
        <f>D12+'6月'!C12</f>
        <v>306252.33600000001</v>
      </c>
      <c r="D12" s="8">
        <f t="shared" ref="D12:D17" si="5">SUM(E12:AI12)</f>
        <v>49468.100000000006</v>
      </c>
      <c r="E12" s="7">
        <v>1535.28</v>
      </c>
      <c r="F12" s="7">
        <v>1599.66</v>
      </c>
      <c r="G12" s="7">
        <v>1521</v>
      </c>
      <c r="H12" s="7">
        <v>1667.48</v>
      </c>
      <c r="I12" s="7">
        <v>1608.64</v>
      </c>
      <c r="J12" s="7">
        <v>1437.06</v>
      </c>
      <c r="K12" s="7">
        <v>1619.76</v>
      </c>
      <c r="L12" s="7">
        <v>1708.72</v>
      </c>
      <c r="M12" s="7">
        <v>1708.8</v>
      </c>
      <c r="N12" s="7">
        <v>1650.32</v>
      </c>
      <c r="O12" s="7">
        <v>1608.58</v>
      </c>
      <c r="P12" s="7">
        <v>1474.12</v>
      </c>
      <c r="Q12" s="7">
        <v>1569.16</v>
      </c>
      <c r="R12" s="7">
        <v>1633.8</v>
      </c>
      <c r="S12" s="7">
        <v>1631.7</v>
      </c>
      <c r="T12" s="7">
        <v>1503</v>
      </c>
      <c r="U12" s="7">
        <v>1566.56</v>
      </c>
      <c r="V12" s="7">
        <v>1637.16</v>
      </c>
      <c r="W12" s="7">
        <v>1533.96</v>
      </c>
      <c r="X12" s="7">
        <v>1594.32</v>
      </c>
      <c r="Y12" s="7">
        <v>1653.36</v>
      </c>
      <c r="Z12" s="7">
        <v>1541.86</v>
      </c>
      <c r="AA12" s="7">
        <v>1622.72</v>
      </c>
      <c r="AB12" s="7">
        <v>1629.72</v>
      </c>
      <c r="AC12" s="7">
        <v>1480.98</v>
      </c>
      <c r="AD12" s="12">
        <v>1667.14</v>
      </c>
      <c r="AE12" s="12">
        <v>1707.16</v>
      </c>
      <c r="AF12" s="7">
        <v>1699.18</v>
      </c>
      <c r="AG12" s="7">
        <v>1686.66</v>
      </c>
      <c r="AH12" s="7">
        <v>1528.46</v>
      </c>
      <c r="AI12" s="7">
        <v>1441.78</v>
      </c>
    </row>
    <row r="13" spans="1:35" s="3" customFormat="1" ht="24.95" customHeight="1">
      <c r="A13" s="52" t="s">
        <v>46</v>
      </c>
      <c r="B13" s="6" t="s">
        <v>36</v>
      </c>
      <c r="C13" s="8">
        <f>D13+'6月'!C13</f>
        <v>302200</v>
      </c>
      <c r="D13" s="10">
        <f t="shared" si="5"/>
        <v>46564</v>
      </c>
      <c r="E13" s="7">
        <f>504+497+493</f>
        <v>1494</v>
      </c>
      <c r="F13" s="7">
        <f>500+500+489</f>
        <v>1489</v>
      </c>
      <c r="G13" s="7">
        <f>501+501+490</f>
        <v>1492</v>
      </c>
      <c r="H13" s="7">
        <f>482+490+497</f>
        <v>1469</v>
      </c>
      <c r="I13" s="7">
        <f>500+497+513</f>
        <v>1510</v>
      </c>
      <c r="J13" s="7">
        <f>506+491+508</f>
        <v>1505</v>
      </c>
      <c r="K13" s="7">
        <f>493+492+510</f>
        <v>1495</v>
      </c>
      <c r="L13" s="7">
        <f>517+473+483</f>
        <v>1473</v>
      </c>
      <c r="M13" s="27">
        <f>504+503+490</f>
        <v>1497</v>
      </c>
      <c r="N13" s="7">
        <f>498+500+495</f>
        <v>1493</v>
      </c>
      <c r="O13" s="7">
        <f>504+510+492</f>
        <v>1506</v>
      </c>
      <c r="P13" s="27">
        <f>491+490+500</f>
        <v>1481</v>
      </c>
      <c r="Q13" s="7">
        <f>490+500+500</f>
        <v>1490</v>
      </c>
      <c r="R13" s="7">
        <f>482+464+466</f>
        <v>1412</v>
      </c>
      <c r="S13" s="7">
        <f>473+473+499</f>
        <v>1445</v>
      </c>
      <c r="T13" s="7">
        <f>493+479+513</f>
        <v>1485</v>
      </c>
      <c r="U13" s="7">
        <f>508+504+474</f>
        <v>1486</v>
      </c>
      <c r="V13" s="7">
        <f>504+490+500</f>
        <v>1494</v>
      </c>
      <c r="W13" s="7">
        <f>488+482+493</f>
        <v>1463</v>
      </c>
      <c r="X13" s="7">
        <f>495+510+500</f>
        <v>1505</v>
      </c>
      <c r="Y13" s="7">
        <f>490+505+503</f>
        <v>1498</v>
      </c>
      <c r="Z13" s="7">
        <f>482+473+485</f>
        <v>1440</v>
      </c>
      <c r="AA13" s="7">
        <f>487+502+550</f>
        <v>1539</v>
      </c>
      <c r="AB13" s="7">
        <f>497+460+501</f>
        <v>1458</v>
      </c>
      <c r="AC13" s="7">
        <f>497+483+502</f>
        <v>1482</v>
      </c>
      <c r="AD13" s="7">
        <f>499+494+487</f>
        <v>1480</v>
      </c>
      <c r="AE13" s="7">
        <f>508+524+524</f>
        <v>1556</v>
      </c>
      <c r="AF13" s="7">
        <f>553+543+554</f>
        <v>1650</v>
      </c>
      <c r="AG13" s="7">
        <f>560+551+523</f>
        <v>1634</v>
      </c>
      <c r="AH13" s="7">
        <f>526+518+536</f>
        <v>1580</v>
      </c>
      <c r="AI13" s="7">
        <f>517+516+530</f>
        <v>1563</v>
      </c>
    </row>
    <row r="14" spans="1:35" s="3" customFormat="1" ht="24.95" customHeight="1">
      <c r="A14" s="55"/>
      <c r="B14" s="6" t="s">
        <v>37</v>
      </c>
      <c r="C14" s="8">
        <f>D14+'6月'!C14</f>
        <v>321460</v>
      </c>
      <c r="D14" s="10">
        <f t="shared" si="5"/>
        <v>49838</v>
      </c>
      <c r="E14" s="7">
        <f>550+531+535</f>
        <v>1616</v>
      </c>
      <c r="F14" s="7">
        <f>533+521+518</f>
        <v>1572</v>
      </c>
      <c r="G14" s="7">
        <f>536+540+548</f>
        <v>1624</v>
      </c>
      <c r="H14" s="7">
        <f>524+531+546</f>
        <v>1601</v>
      </c>
      <c r="I14" s="7">
        <f>535+531+525</f>
        <v>1591</v>
      </c>
      <c r="J14" s="7">
        <f>527+531+525</f>
        <v>1583</v>
      </c>
      <c r="K14" s="7">
        <f>544+542+524</f>
        <v>1610</v>
      </c>
      <c r="L14" s="7">
        <f>550+536+538</f>
        <v>1624</v>
      </c>
      <c r="M14" s="27">
        <f>533+522+531</f>
        <v>1586</v>
      </c>
      <c r="N14" s="7">
        <f>546+535+534</f>
        <v>1615</v>
      </c>
      <c r="O14" s="7">
        <f>553+554+520</f>
        <v>1627</v>
      </c>
      <c r="P14" s="27">
        <f>543+509+565</f>
        <v>1617</v>
      </c>
      <c r="Q14" s="7">
        <f>546+547+540</f>
        <v>1633</v>
      </c>
      <c r="R14" s="7">
        <f>534+474+544</f>
        <v>1552</v>
      </c>
      <c r="S14" s="7">
        <f>537+526+535</f>
        <v>1598</v>
      </c>
      <c r="T14" s="7">
        <f>537+552+543</f>
        <v>1632</v>
      </c>
      <c r="U14" s="7">
        <f>535+538+529</f>
        <v>1602</v>
      </c>
      <c r="V14" s="7">
        <f>559+532+543</f>
        <v>1634</v>
      </c>
      <c r="W14" s="7">
        <f>534+533+561</f>
        <v>1628</v>
      </c>
      <c r="X14" s="7">
        <f>517+542+559</f>
        <v>1618</v>
      </c>
      <c r="Y14" s="7">
        <f>543+542+530</f>
        <v>1615</v>
      </c>
      <c r="Z14" s="7">
        <f>538+543+533</f>
        <v>1614</v>
      </c>
      <c r="AA14" s="7">
        <f>549+537+505</f>
        <v>1591</v>
      </c>
      <c r="AB14" s="7">
        <f>537+539+520</f>
        <v>1596</v>
      </c>
      <c r="AC14" s="7">
        <f>546+545+539</f>
        <v>1630</v>
      </c>
      <c r="AD14" s="7">
        <f>532+523+512</f>
        <v>1567</v>
      </c>
      <c r="AE14" s="7">
        <f>521+535+521</f>
        <v>1577</v>
      </c>
      <c r="AF14" s="7">
        <f>529+532+549</f>
        <v>1610</v>
      </c>
      <c r="AG14" s="7">
        <f>537+536+540</f>
        <v>1613</v>
      </c>
      <c r="AH14" s="7">
        <f>547+542+520</f>
        <v>1609</v>
      </c>
      <c r="AI14" s="7">
        <f>548+556+549</f>
        <v>1653</v>
      </c>
    </row>
    <row r="15" spans="1:35" s="3" customFormat="1" ht="24" customHeight="1">
      <c r="A15" s="56"/>
      <c r="B15" s="7" t="s">
        <v>38</v>
      </c>
      <c r="C15" s="8">
        <f>D15+'6月'!C15</f>
        <v>623660</v>
      </c>
      <c r="D15" s="7">
        <f t="shared" si="5"/>
        <v>96402</v>
      </c>
      <c r="E15" s="7">
        <f>E13+E14</f>
        <v>3110</v>
      </c>
      <c r="F15" s="7">
        <f t="shared" ref="F15:AI15" si="6">F13+F14</f>
        <v>3061</v>
      </c>
      <c r="G15" s="7">
        <f t="shared" si="6"/>
        <v>3116</v>
      </c>
      <c r="H15" s="7">
        <f t="shared" si="6"/>
        <v>3070</v>
      </c>
      <c r="I15" s="7">
        <f t="shared" si="6"/>
        <v>3101</v>
      </c>
      <c r="J15" s="7">
        <f t="shared" si="6"/>
        <v>3088</v>
      </c>
      <c r="K15" s="7">
        <f t="shared" si="6"/>
        <v>3105</v>
      </c>
      <c r="L15" s="7">
        <f t="shared" si="6"/>
        <v>3097</v>
      </c>
      <c r="M15" s="7">
        <f t="shared" si="6"/>
        <v>3083</v>
      </c>
      <c r="N15" s="7">
        <f t="shared" si="6"/>
        <v>3108</v>
      </c>
      <c r="O15" s="7">
        <f t="shared" si="6"/>
        <v>3133</v>
      </c>
      <c r="P15" s="7">
        <f t="shared" si="6"/>
        <v>3098</v>
      </c>
      <c r="Q15" s="7">
        <f t="shared" si="6"/>
        <v>3123</v>
      </c>
      <c r="R15" s="7">
        <f t="shared" si="6"/>
        <v>2964</v>
      </c>
      <c r="S15" s="7">
        <f t="shared" si="6"/>
        <v>3043</v>
      </c>
      <c r="T15" s="7">
        <f t="shared" si="6"/>
        <v>3117</v>
      </c>
      <c r="U15" s="7">
        <f t="shared" si="6"/>
        <v>3088</v>
      </c>
      <c r="V15" s="7">
        <f t="shared" si="6"/>
        <v>3128</v>
      </c>
      <c r="W15" s="7">
        <f t="shared" si="6"/>
        <v>3091</v>
      </c>
      <c r="X15" s="7">
        <f t="shared" si="6"/>
        <v>3123</v>
      </c>
      <c r="Y15" s="7">
        <f t="shared" si="6"/>
        <v>3113</v>
      </c>
      <c r="Z15" s="7">
        <f t="shared" si="6"/>
        <v>3054</v>
      </c>
      <c r="AA15" s="7">
        <f t="shared" si="6"/>
        <v>3130</v>
      </c>
      <c r="AB15" s="7">
        <f t="shared" si="6"/>
        <v>3054</v>
      </c>
      <c r="AC15" s="7">
        <f t="shared" si="6"/>
        <v>3112</v>
      </c>
      <c r="AD15" s="7">
        <f t="shared" si="6"/>
        <v>3047</v>
      </c>
      <c r="AE15" s="7">
        <f t="shared" si="6"/>
        <v>3133</v>
      </c>
      <c r="AF15" s="7">
        <f t="shared" si="6"/>
        <v>3260</v>
      </c>
      <c r="AG15" s="7">
        <f t="shared" si="6"/>
        <v>3247</v>
      </c>
      <c r="AH15" s="7">
        <f t="shared" si="6"/>
        <v>3189</v>
      </c>
      <c r="AI15" s="7">
        <f t="shared" si="6"/>
        <v>3216</v>
      </c>
    </row>
    <row r="16" spans="1:35" s="3" customFormat="1" ht="24.95" customHeight="1">
      <c r="A16" s="51" t="s">
        <v>47</v>
      </c>
      <c r="B16" s="7" t="s">
        <v>38</v>
      </c>
      <c r="C16" s="8">
        <f>D16+'6月'!C16</f>
        <v>18976000</v>
      </c>
      <c r="D16" s="7">
        <f t="shared" si="5"/>
        <v>3028000</v>
      </c>
      <c r="E16" s="7">
        <v>98000</v>
      </c>
      <c r="F16" s="7">
        <v>94000</v>
      </c>
      <c r="G16" s="7">
        <v>100000</v>
      </c>
      <c r="H16" s="7">
        <v>100000</v>
      </c>
      <c r="I16" s="7">
        <v>94000</v>
      </c>
      <c r="J16" s="7">
        <v>98000</v>
      </c>
      <c r="K16" s="7">
        <v>98000</v>
      </c>
      <c r="L16" s="7">
        <v>96000</v>
      </c>
      <c r="M16" s="7">
        <v>96000</v>
      </c>
      <c r="N16" s="7">
        <v>100000</v>
      </c>
      <c r="O16" s="7">
        <v>100000</v>
      </c>
      <c r="P16" s="7">
        <v>94000</v>
      </c>
      <c r="Q16" s="7">
        <v>98000</v>
      </c>
      <c r="R16" s="7">
        <v>90000</v>
      </c>
      <c r="S16" s="7">
        <v>96000</v>
      </c>
      <c r="T16" s="7">
        <v>102000</v>
      </c>
      <c r="U16" s="7">
        <v>96000</v>
      </c>
      <c r="V16" s="7">
        <v>96000</v>
      </c>
      <c r="W16" s="7">
        <v>100000</v>
      </c>
      <c r="X16" s="7">
        <v>98000</v>
      </c>
      <c r="Y16" s="7">
        <v>94000</v>
      </c>
      <c r="Z16" s="7">
        <v>98000</v>
      </c>
      <c r="AA16" s="7">
        <v>100000</v>
      </c>
      <c r="AB16" s="7">
        <v>98000</v>
      </c>
      <c r="AC16" s="7">
        <v>98000</v>
      </c>
      <c r="AD16" s="7">
        <v>94000</v>
      </c>
      <c r="AE16" s="7">
        <v>100000</v>
      </c>
      <c r="AF16" s="7">
        <v>100000</v>
      </c>
      <c r="AG16" s="7">
        <v>100000</v>
      </c>
      <c r="AH16" s="7">
        <v>102000</v>
      </c>
      <c r="AI16" s="7">
        <v>100000</v>
      </c>
    </row>
    <row r="17" spans="1:35" s="3" customFormat="1" ht="24.95" customHeight="1">
      <c r="A17" s="51"/>
      <c r="B17" s="7" t="s">
        <v>77</v>
      </c>
      <c r="C17" s="8">
        <f>D17+'6月'!C17</f>
        <v>940810</v>
      </c>
      <c r="D17" s="7">
        <f t="shared" si="5"/>
        <v>199165</v>
      </c>
      <c r="E17" s="7">
        <v>4905</v>
      </c>
      <c r="F17" s="7">
        <v>5400</v>
      </c>
      <c r="G17" s="7">
        <v>6330</v>
      </c>
      <c r="H17" s="7">
        <v>9465</v>
      </c>
      <c r="I17" s="7">
        <v>7815</v>
      </c>
      <c r="J17" s="7">
        <v>8265</v>
      </c>
      <c r="K17" s="7">
        <v>7395</v>
      </c>
      <c r="L17" s="7">
        <v>4785</v>
      </c>
      <c r="M17" s="7">
        <v>6615</v>
      </c>
      <c r="N17" s="7">
        <v>6810</v>
      </c>
      <c r="O17" s="7">
        <v>5805</v>
      </c>
      <c r="P17" s="7">
        <v>6120</v>
      </c>
      <c r="Q17" s="7">
        <v>3615</v>
      </c>
      <c r="R17" s="7">
        <v>4020</v>
      </c>
      <c r="S17" s="7">
        <v>5655</v>
      </c>
      <c r="T17" s="7">
        <v>6990</v>
      </c>
      <c r="U17" s="7">
        <v>6495</v>
      </c>
      <c r="V17" s="7">
        <v>7020</v>
      </c>
      <c r="W17" s="7">
        <v>5970</v>
      </c>
      <c r="X17" s="7">
        <v>5970</v>
      </c>
      <c r="Y17" s="7">
        <v>6840</v>
      </c>
      <c r="Z17" s="7">
        <v>7200</v>
      </c>
      <c r="AA17" s="7">
        <v>6625</v>
      </c>
      <c r="AB17" s="7">
        <v>7635</v>
      </c>
      <c r="AC17" s="7">
        <v>7005</v>
      </c>
      <c r="AD17" s="7">
        <v>5760</v>
      </c>
      <c r="AE17" s="7">
        <v>6750</v>
      </c>
      <c r="AF17" s="7">
        <v>5730</v>
      </c>
      <c r="AG17" s="7">
        <v>5565</v>
      </c>
      <c r="AH17" s="7">
        <v>7530</v>
      </c>
      <c r="AI17" s="7">
        <v>7080</v>
      </c>
    </row>
    <row r="18" spans="1:35" s="3" customFormat="1" ht="24.95" customHeight="1">
      <c r="A18" s="51"/>
      <c r="B18" s="6" t="s">
        <v>48</v>
      </c>
      <c r="C18" s="11">
        <f>SUM(C16/C8)</f>
        <v>0.1369851147077083</v>
      </c>
      <c r="D18" s="11">
        <f>SUM(D16/D8)</f>
        <v>0.14301908180615908</v>
      </c>
      <c r="E18" s="11">
        <f>SUM(E16/E8)</f>
        <v>0.14454277286135694</v>
      </c>
      <c r="F18" s="11">
        <f>SUM(F16/F8)</f>
        <v>0.13988095238095238</v>
      </c>
      <c r="G18" s="11">
        <f>SUM(G16/G8)</f>
        <v>0.14705882352941177</v>
      </c>
      <c r="H18" s="11">
        <f>SUM(H16/H8)</f>
        <v>0.14792899408284024</v>
      </c>
      <c r="I18" s="11">
        <f>SUM(I16/I8)</f>
        <v>0.13864306784660768</v>
      </c>
      <c r="J18" s="11">
        <f>SUM(J16/J8)</f>
        <v>0.14411764705882352</v>
      </c>
      <c r="K18" s="11">
        <f>SUM(K16/K8)</f>
        <v>0.14369501466275661</v>
      </c>
      <c r="L18" s="11">
        <f>SUM(L16/L8)</f>
        <v>0.14035087719298245</v>
      </c>
      <c r="M18" s="11">
        <f>SUM(M16/M8)</f>
        <v>0.14117647058823529</v>
      </c>
      <c r="N18" s="11">
        <f>SUM(N16/N8)</f>
        <v>0.1457725947521866</v>
      </c>
      <c r="O18" s="11">
        <f>SUM(O16/O8)</f>
        <v>0.14450867052023122</v>
      </c>
      <c r="P18" s="11">
        <f>SUM(P16/P8)</f>
        <v>0.1378299120234604</v>
      </c>
      <c r="Q18" s="11">
        <f>SUM(Q16/Q8)</f>
        <v>0.14244186046511628</v>
      </c>
      <c r="R18" s="11">
        <f>SUM(R16/R8)</f>
        <v>0.13803680981595093</v>
      </c>
      <c r="S18" s="11">
        <f>SUM(S16/S8)</f>
        <v>0.14414414414414414</v>
      </c>
      <c r="T18" s="11">
        <f>SUM(T16/T8)</f>
        <v>0.14825581395348839</v>
      </c>
      <c r="U18" s="11">
        <f>SUM(U16/U8)</f>
        <v>0.14076246334310852</v>
      </c>
      <c r="V18" s="11">
        <f>SUM(V16/V8)</f>
        <v>0.14035087719298245</v>
      </c>
      <c r="W18" s="11">
        <f>SUM(W16/W8)</f>
        <v>0.1466275659824047</v>
      </c>
      <c r="X18" s="11">
        <f>SUM(X16/X8)</f>
        <v>0.14202898550724638</v>
      </c>
      <c r="Y18" s="11">
        <f>SUM(Y16/Y8)</f>
        <v>0.13742690058479531</v>
      </c>
      <c r="Z18" s="11">
        <f>SUM(Z16/Z8)</f>
        <v>0.14583333333333334</v>
      </c>
      <c r="AA18" s="11">
        <f>SUM(AA16/AA8)</f>
        <v>0.14534883720930233</v>
      </c>
      <c r="AB18" s="11">
        <f>SUM(AB16/AB8)</f>
        <v>0.14626865671641792</v>
      </c>
      <c r="AC18" s="11">
        <f>SUM(AC16/AC8)</f>
        <v>0.14369501466275661</v>
      </c>
      <c r="AD18" s="11">
        <f>SUM(AD16/AD8)</f>
        <v>0.14156626506024098</v>
      </c>
      <c r="AE18" s="11">
        <f>SUM(AE16/AE8)</f>
        <v>0.14492753623188406</v>
      </c>
      <c r="AF18" s="11">
        <f>SUM(AF16/AF8)</f>
        <v>0.14084507042253522</v>
      </c>
      <c r="AG18" s="11">
        <f>SUM(AG16/AG8)</f>
        <v>0.1404494382022472</v>
      </c>
      <c r="AH18" s="11">
        <f>SUM(AH16/AH8)</f>
        <v>0.14655172413793102</v>
      </c>
      <c r="AI18" s="11">
        <f>SUM(AI16/AI8)</f>
        <v>0.14245014245014245</v>
      </c>
    </row>
    <row r="19" spans="1:35" s="3" customFormat="1" ht="24.95" customHeight="1">
      <c r="A19" s="13"/>
      <c r="B19" s="13" t="s">
        <v>49</v>
      </c>
      <c r="C19" s="7">
        <f>D19+'6月'!C19</f>
        <v>31</v>
      </c>
      <c r="D19" s="7">
        <f t="shared" ref="D19" si="7">COUNT(E19:AI19)</f>
        <v>31</v>
      </c>
      <c r="E19" s="14">
        <v>15400</v>
      </c>
      <c r="F19" s="14">
        <v>15400</v>
      </c>
      <c r="G19" s="14">
        <v>15300</v>
      </c>
      <c r="H19" s="14">
        <v>15400</v>
      </c>
      <c r="I19" s="14">
        <v>15400</v>
      </c>
      <c r="J19" s="14">
        <v>15300</v>
      </c>
      <c r="K19" s="14">
        <v>15400</v>
      </c>
      <c r="L19" s="14">
        <v>15600</v>
      </c>
      <c r="M19" s="7">
        <v>15700</v>
      </c>
      <c r="N19" s="7">
        <v>15700</v>
      </c>
      <c r="O19" s="7">
        <v>15700</v>
      </c>
      <c r="P19" s="7">
        <v>15700</v>
      </c>
      <c r="Q19" s="7">
        <v>15600</v>
      </c>
      <c r="R19" s="7">
        <v>15700</v>
      </c>
      <c r="S19" s="7">
        <v>15900</v>
      </c>
      <c r="T19" s="7">
        <v>16000</v>
      </c>
      <c r="U19" s="7">
        <v>15500</v>
      </c>
      <c r="V19" s="7">
        <v>15700</v>
      </c>
      <c r="W19" s="7">
        <v>15700</v>
      </c>
      <c r="X19" s="7">
        <v>15700</v>
      </c>
      <c r="Y19" s="7">
        <v>15900</v>
      </c>
      <c r="Z19" s="7">
        <v>15800</v>
      </c>
      <c r="AA19" s="7">
        <v>16000</v>
      </c>
      <c r="AB19" s="7">
        <v>15900</v>
      </c>
      <c r="AC19" s="7">
        <v>15800</v>
      </c>
      <c r="AD19" s="7">
        <v>16000</v>
      </c>
      <c r="AE19" s="7">
        <v>16200</v>
      </c>
      <c r="AF19" s="7">
        <v>16200</v>
      </c>
      <c r="AG19" s="7">
        <v>16100</v>
      </c>
      <c r="AH19" s="7">
        <v>16100</v>
      </c>
      <c r="AI19" s="7">
        <v>15900</v>
      </c>
    </row>
    <row r="20" spans="1:35" s="3" customFormat="1" ht="24.95" customHeight="1">
      <c r="A20" s="62" t="s">
        <v>50</v>
      </c>
      <c r="B20" s="13" t="s">
        <v>51</v>
      </c>
      <c r="C20" s="7">
        <f>D20+'6月'!C20</f>
        <v>59284.580000000009</v>
      </c>
      <c r="D20" s="7">
        <f t="shared" ref="D20:D33" si="8">SUM(E20:AI20)</f>
        <v>9894.1200000000008</v>
      </c>
      <c r="E20" s="7">
        <v>259.39999999999998</v>
      </c>
      <c r="F20" s="15">
        <v>315.82</v>
      </c>
      <c r="G20" s="15">
        <v>276.66000000000003</v>
      </c>
      <c r="H20" s="15">
        <v>356.3</v>
      </c>
      <c r="I20" s="15">
        <v>314.86</v>
      </c>
      <c r="J20" s="15">
        <v>218.6</v>
      </c>
      <c r="K20" s="15">
        <v>280.86</v>
      </c>
      <c r="L20" s="15">
        <v>277.16000000000003</v>
      </c>
      <c r="M20" s="15">
        <v>354.02</v>
      </c>
      <c r="N20" s="15">
        <v>371.02</v>
      </c>
      <c r="O20" s="15">
        <v>359.94</v>
      </c>
      <c r="P20" s="15">
        <v>323.27999999999997</v>
      </c>
      <c r="Q20" s="15">
        <v>381.82</v>
      </c>
      <c r="R20" s="17">
        <v>411.56</v>
      </c>
      <c r="S20" s="15">
        <v>323.58</v>
      </c>
      <c r="T20" s="15">
        <v>332.46</v>
      </c>
      <c r="U20" s="15">
        <v>295.56</v>
      </c>
      <c r="V20" s="15">
        <v>326.33999999999997</v>
      </c>
      <c r="W20" s="15">
        <v>297.08</v>
      </c>
      <c r="X20" s="15">
        <v>439.16</v>
      </c>
      <c r="Y20" s="15">
        <v>414.2</v>
      </c>
      <c r="Z20" s="15">
        <v>315.3</v>
      </c>
      <c r="AA20" s="15">
        <v>319.08</v>
      </c>
      <c r="AB20" s="15">
        <v>307.04000000000002</v>
      </c>
      <c r="AC20" s="15">
        <v>285.68</v>
      </c>
      <c r="AD20" s="15">
        <v>274.26</v>
      </c>
      <c r="AE20" s="15">
        <v>343.14</v>
      </c>
      <c r="AF20" s="15">
        <v>322.68</v>
      </c>
      <c r="AG20" s="15">
        <v>301.32</v>
      </c>
      <c r="AH20" s="15">
        <v>269.24</v>
      </c>
      <c r="AI20" s="15">
        <v>226.7</v>
      </c>
    </row>
    <row r="21" spans="1:35" s="3" customFormat="1" ht="24.95" customHeight="1">
      <c r="A21" s="63"/>
      <c r="B21" s="16" t="s">
        <v>52</v>
      </c>
      <c r="C21" s="7">
        <f>D21+'6月'!C21</f>
        <v>3424.5199999999995</v>
      </c>
      <c r="D21" s="7">
        <f t="shared" si="8"/>
        <v>0</v>
      </c>
      <c r="E21" s="17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3"/>
      <c r="B22" s="16" t="s">
        <v>53</v>
      </c>
      <c r="C22" s="7">
        <f>D22+'6月'!C22</f>
        <v>0</v>
      </c>
      <c r="D22" s="7">
        <f t="shared" si="8"/>
        <v>0</v>
      </c>
      <c r="E22" s="17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4.95" customHeight="1">
      <c r="A23" s="63"/>
      <c r="B23" s="13" t="s">
        <v>54</v>
      </c>
      <c r="C23" s="7">
        <f>D23+'6月'!C23</f>
        <v>2536.52</v>
      </c>
      <c r="D23" s="7">
        <f t="shared" si="8"/>
        <v>0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3" t="s">
        <v>55</v>
      </c>
      <c r="C24" s="7">
        <f>D24+'6月'!C24</f>
        <v>2890.84</v>
      </c>
      <c r="D24" s="7">
        <f t="shared" si="8"/>
        <v>147.78</v>
      </c>
      <c r="E24" s="17"/>
      <c r="F24" s="15"/>
      <c r="G24" s="15"/>
      <c r="H24" s="15"/>
      <c r="I24" s="17"/>
      <c r="J24" s="17"/>
      <c r="K24" s="15">
        <v>15.06</v>
      </c>
      <c r="L24" s="17">
        <v>66.16</v>
      </c>
      <c r="M24" s="15">
        <v>66.56</v>
      </c>
      <c r="N24" s="15">
        <v>0</v>
      </c>
      <c r="O24" s="15">
        <v>0</v>
      </c>
      <c r="P24" s="17">
        <v>0</v>
      </c>
      <c r="Q24" s="15"/>
      <c r="R24" s="17"/>
      <c r="S24" s="15"/>
      <c r="T24" s="17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7"/>
      <c r="AI24" s="15"/>
    </row>
    <row r="25" spans="1:35" s="3" customFormat="1" ht="22.15" customHeight="1">
      <c r="A25" s="63"/>
      <c r="B25" s="18" t="s">
        <v>56</v>
      </c>
      <c r="C25" s="7">
        <f>D25+'6月'!C25</f>
        <v>0</v>
      </c>
      <c r="D25" s="7">
        <f t="shared" si="8"/>
        <v>0</v>
      </c>
      <c r="E25" s="17"/>
      <c r="F25" s="15"/>
      <c r="G25" s="15"/>
      <c r="H25" s="15"/>
      <c r="I25" s="17"/>
      <c r="J25" s="17"/>
      <c r="K25" s="15"/>
      <c r="L25" s="17"/>
      <c r="M25" s="15"/>
      <c r="N25" s="15"/>
      <c r="O25" s="15"/>
      <c r="P25" s="17"/>
      <c r="Q25" s="15"/>
      <c r="R25" s="17"/>
      <c r="S25" s="15"/>
      <c r="T25" s="17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7"/>
      <c r="AI25" s="15"/>
    </row>
    <row r="26" spans="1:35" s="3" customFormat="1" ht="22.15" customHeight="1">
      <c r="A26" s="63"/>
      <c r="B26" s="16" t="s">
        <v>57</v>
      </c>
      <c r="C26" s="7">
        <f>D26+'6月'!C26</f>
        <v>51391.119999999995</v>
      </c>
      <c r="D26" s="7">
        <f t="shared" si="8"/>
        <v>8399.9399999999987</v>
      </c>
      <c r="E26" s="17">
        <v>269.74</v>
      </c>
      <c r="F26" s="15">
        <v>254.26</v>
      </c>
      <c r="G26" s="15">
        <v>276.52</v>
      </c>
      <c r="H26" s="15">
        <v>264.16000000000003</v>
      </c>
      <c r="I26" s="17">
        <v>279.94</v>
      </c>
      <c r="J26" s="17">
        <v>245.98</v>
      </c>
      <c r="K26" s="15">
        <v>273.76</v>
      </c>
      <c r="L26" s="17">
        <v>257.10000000000002</v>
      </c>
      <c r="M26" s="15">
        <v>265.24</v>
      </c>
      <c r="N26" s="15">
        <v>226.44</v>
      </c>
      <c r="O26" s="15">
        <v>264.98</v>
      </c>
      <c r="P26" s="17">
        <v>256.16000000000003</v>
      </c>
      <c r="Q26" s="15">
        <v>261.38</v>
      </c>
      <c r="R26" s="17">
        <v>275.48</v>
      </c>
      <c r="S26" s="15">
        <v>248.52</v>
      </c>
      <c r="T26" s="17">
        <v>242.14</v>
      </c>
      <c r="U26" s="15">
        <v>279</v>
      </c>
      <c r="V26" s="15">
        <v>272.86</v>
      </c>
      <c r="W26" s="15">
        <v>240.8</v>
      </c>
      <c r="X26" s="15">
        <v>287.72000000000003</v>
      </c>
      <c r="Y26" s="15">
        <v>252.1</v>
      </c>
      <c r="Z26" s="15">
        <v>270.77999999999997</v>
      </c>
      <c r="AA26" s="15">
        <v>246.78</v>
      </c>
      <c r="AB26" s="15">
        <v>255.86</v>
      </c>
      <c r="AC26" s="15">
        <v>264.04000000000002</v>
      </c>
      <c r="AD26" s="15">
        <v>433.28</v>
      </c>
      <c r="AE26" s="15">
        <v>369.86</v>
      </c>
      <c r="AF26" s="15">
        <v>303.3</v>
      </c>
      <c r="AG26" s="15">
        <v>262.02</v>
      </c>
      <c r="AH26" s="17">
        <v>250.14</v>
      </c>
      <c r="AI26" s="15">
        <v>249.6</v>
      </c>
    </row>
    <row r="27" spans="1:35" s="3" customFormat="1" ht="22.15" customHeight="1">
      <c r="A27" s="63"/>
      <c r="B27" s="13" t="s">
        <v>58</v>
      </c>
      <c r="C27" s="7">
        <f>D27+'6月'!C27</f>
        <v>0</v>
      </c>
      <c r="D27" s="7">
        <f t="shared" si="8"/>
        <v>0</v>
      </c>
      <c r="E27" s="17"/>
      <c r="F27" s="15"/>
      <c r="G27" s="15"/>
      <c r="H27" s="15"/>
      <c r="I27" s="17"/>
      <c r="J27" s="17"/>
      <c r="K27" s="15"/>
      <c r="L27" s="17"/>
      <c r="M27" s="15"/>
      <c r="N27" s="15"/>
      <c r="O27" s="15"/>
      <c r="P27" s="17"/>
      <c r="Q27" s="15"/>
      <c r="R27" s="17"/>
      <c r="S27" s="15"/>
      <c r="T27" s="17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7"/>
      <c r="AI27" s="15"/>
    </row>
    <row r="28" spans="1:35" s="3" customFormat="1" ht="22.15" customHeight="1">
      <c r="A28" s="63"/>
      <c r="B28" s="19" t="s">
        <v>59</v>
      </c>
      <c r="C28" s="7">
        <f>D28+'6月'!C28</f>
        <v>35887.840000000004</v>
      </c>
      <c r="D28" s="7">
        <f t="shared" si="8"/>
        <v>6362.62</v>
      </c>
      <c r="E28" s="17">
        <v>218.54</v>
      </c>
      <c r="F28" s="15">
        <v>201.76</v>
      </c>
      <c r="G28" s="15">
        <v>222.32</v>
      </c>
      <c r="H28" s="15">
        <v>192.88</v>
      </c>
      <c r="I28" s="17">
        <v>203.02</v>
      </c>
      <c r="J28" s="17">
        <v>215.16</v>
      </c>
      <c r="K28" s="15">
        <v>206.66</v>
      </c>
      <c r="L28" s="17">
        <v>207.66</v>
      </c>
      <c r="M28" s="15">
        <v>206.92</v>
      </c>
      <c r="N28" s="15">
        <v>218.86</v>
      </c>
      <c r="O28" s="15">
        <v>199.16</v>
      </c>
      <c r="P28" s="17">
        <v>214.98</v>
      </c>
      <c r="Q28" s="15">
        <v>198.9</v>
      </c>
      <c r="R28" s="17">
        <v>197.58</v>
      </c>
      <c r="S28" s="15">
        <v>193.62</v>
      </c>
      <c r="T28" s="17">
        <v>218.32</v>
      </c>
      <c r="U28" s="15">
        <v>220.2</v>
      </c>
      <c r="V28" s="15">
        <v>229.72</v>
      </c>
      <c r="W28" s="15">
        <v>222.38</v>
      </c>
      <c r="X28" s="15">
        <v>184.82</v>
      </c>
      <c r="Y28" s="15">
        <v>192.82</v>
      </c>
      <c r="Z28" s="15">
        <v>200.96</v>
      </c>
      <c r="AA28" s="15">
        <v>204.68</v>
      </c>
      <c r="AB28" s="15">
        <v>194.34</v>
      </c>
      <c r="AC28" s="15">
        <v>197.16</v>
      </c>
      <c r="AD28" s="15">
        <v>174.22</v>
      </c>
      <c r="AE28" s="15">
        <v>205.48</v>
      </c>
      <c r="AF28" s="15">
        <v>194.06</v>
      </c>
      <c r="AG28" s="15">
        <v>191.4</v>
      </c>
      <c r="AH28" s="17">
        <v>192.5</v>
      </c>
      <c r="AI28" s="15">
        <v>241.54</v>
      </c>
    </row>
    <row r="29" spans="1:35" s="3" customFormat="1" ht="22.15" customHeight="1">
      <c r="A29" s="63"/>
      <c r="B29" s="19" t="s">
        <v>60</v>
      </c>
      <c r="C29" s="7">
        <f>D29+'6月'!C29</f>
        <v>38738.539999999994</v>
      </c>
      <c r="D29" s="7">
        <f t="shared" si="8"/>
        <v>5745.1999999999989</v>
      </c>
      <c r="E29" s="17">
        <v>190.9</v>
      </c>
      <c r="F29" s="15">
        <v>190.48</v>
      </c>
      <c r="G29" s="15">
        <v>196.96</v>
      </c>
      <c r="H29" s="15">
        <v>210.78</v>
      </c>
      <c r="I29" s="17">
        <v>193.86</v>
      </c>
      <c r="J29" s="17">
        <v>197.32</v>
      </c>
      <c r="K29" s="15">
        <v>167.3</v>
      </c>
      <c r="L29" s="17">
        <v>179.42</v>
      </c>
      <c r="M29" s="15">
        <v>156.91999999999999</v>
      </c>
      <c r="N29" s="15">
        <v>177.54</v>
      </c>
      <c r="O29" s="15">
        <v>140.5</v>
      </c>
      <c r="P29" s="17">
        <v>156.86000000000001</v>
      </c>
      <c r="Q29" s="15">
        <v>157</v>
      </c>
      <c r="R29" s="17">
        <v>164.04</v>
      </c>
      <c r="S29" s="15">
        <v>194.58</v>
      </c>
      <c r="T29" s="17">
        <v>159.58000000000001</v>
      </c>
      <c r="U29" s="15">
        <v>169.24</v>
      </c>
      <c r="V29" s="15">
        <v>194.88</v>
      </c>
      <c r="W29" s="15">
        <v>182.82</v>
      </c>
      <c r="X29" s="15">
        <v>176.46</v>
      </c>
      <c r="Y29" s="15">
        <v>130.28</v>
      </c>
      <c r="Z29" s="15">
        <v>160.58000000000001</v>
      </c>
      <c r="AA29" s="15">
        <v>154.24</v>
      </c>
      <c r="AB29" s="15">
        <v>159.47999999999999</v>
      </c>
      <c r="AC29" s="15">
        <v>164.92</v>
      </c>
      <c r="AD29" s="15">
        <v>162.46</v>
      </c>
      <c r="AE29" s="15">
        <v>255.34</v>
      </c>
      <c r="AF29" s="15">
        <v>321.27999999999997</v>
      </c>
      <c r="AG29" s="15">
        <f>178.14+158.22</f>
        <v>336.36</v>
      </c>
      <c r="AH29" s="17">
        <v>174.44</v>
      </c>
      <c r="AI29" s="15">
        <v>168.38</v>
      </c>
    </row>
    <row r="30" spans="1:35" s="3" customFormat="1" ht="22.15" customHeight="1">
      <c r="A30" s="63"/>
      <c r="B30" s="19" t="s">
        <v>61</v>
      </c>
      <c r="C30" s="7">
        <f>D30+'6月'!C30</f>
        <v>111492.34</v>
      </c>
      <c r="D30" s="7">
        <f t="shared" si="8"/>
        <v>18807.599999999999</v>
      </c>
      <c r="E30" s="17">
        <v>596.70000000000005</v>
      </c>
      <c r="F30" s="15">
        <v>637.34</v>
      </c>
      <c r="G30" s="15">
        <v>548.54</v>
      </c>
      <c r="H30" s="15">
        <v>643.36</v>
      </c>
      <c r="I30" s="17">
        <v>616.96</v>
      </c>
      <c r="J30" s="17">
        <v>560</v>
      </c>
      <c r="K30" s="15">
        <v>676.12</v>
      </c>
      <c r="L30" s="17">
        <v>677.68</v>
      </c>
      <c r="M30" s="15">
        <v>616.74</v>
      </c>
      <c r="N30" s="15">
        <v>643.74</v>
      </c>
      <c r="O30" s="15">
        <v>644</v>
      </c>
      <c r="P30" s="17">
        <v>522.84</v>
      </c>
      <c r="Q30" s="15">
        <v>570.05999999999995</v>
      </c>
      <c r="R30" s="17">
        <v>585.14</v>
      </c>
      <c r="S30" s="15">
        <v>671.4</v>
      </c>
      <c r="T30" s="17">
        <v>550.5</v>
      </c>
      <c r="U30" s="15">
        <v>602.55999999999995</v>
      </c>
      <c r="V30" s="15">
        <v>613.36</v>
      </c>
      <c r="W30" s="15">
        <v>590.88</v>
      </c>
      <c r="X30" s="15">
        <v>506.16</v>
      </c>
      <c r="Y30" s="15">
        <v>663.96</v>
      </c>
      <c r="Z30" s="15">
        <v>594.24</v>
      </c>
      <c r="AA30" s="15">
        <v>697.94</v>
      </c>
      <c r="AB30" s="15">
        <v>713</v>
      </c>
      <c r="AC30" s="15">
        <v>569.17999999999995</v>
      </c>
      <c r="AD30" s="15">
        <v>620.17999999999995</v>
      </c>
      <c r="AE30" s="15">
        <v>529.86</v>
      </c>
      <c r="AF30" s="15">
        <v>553.6</v>
      </c>
      <c r="AG30" s="15">
        <v>593.86</v>
      </c>
      <c r="AH30" s="17">
        <v>642.14</v>
      </c>
      <c r="AI30" s="15">
        <v>555.55999999999995</v>
      </c>
    </row>
    <row r="31" spans="1:35" s="3" customFormat="1" ht="22.15" customHeight="1">
      <c r="A31" s="63"/>
      <c r="B31" s="19" t="s">
        <v>62</v>
      </c>
      <c r="C31" s="7">
        <f>D31+'6月'!C31</f>
        <v>45</v>
      </c>
      <c r="D31" s="7">
        <f t="shared" si="8"/>
        <v>12.18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>
        <v>2.74</v>
      </c>
      <c r="AE31" s="15">
        <v>3.48</v>
      </c>
      <c r="AF31" s="15">
        <v>4.26</v>
      </c>
      <c r="AG31" s="15">
        <v>1.7</v>
      </c>
      <c r="AH31" s="17"/>
      <c r="AI31" s="15"/>
    </row>
    <row r="32" spans="1:35" s="3" customFormat="1" ht="22.15" customHeight="1">
      <c r="A32" s="63"/>
      <c r="B32" s="19" t="s">
        <v>63</v>
      </c>
      <c r="C32" s="7">
        <f>D32+'6月'!C32</f>
        <v>0</v>
      </c>
      <c r="D32" s="7">
        <f t="shared" si="8"/>
        <v>0</v>
      </c>
      <c r="E32" s="17"/>
      <c r="F32" s="15"/>
      <c r="G32" s="15"/>
      <c r="H32" s="15"/>
      <c r="I32" s="17"/>
      <c r="J32" s="17"/>
      <c r="K32" s="15"/>
      <c r="L32" s="17"/>
      <c r="M32" s="15"/>
      <c r="N32" s="15"/>
      <c r="O32" s="15"/>
      <c r="P32" s="17"/>
      <c r="Q32" s="15"/>
      <c r="R32" s="17"/>
      <c r="S32" s="15"/>
      <c r="T32" s="17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7"/>
      <c r="AI32" s="15"/>
    </row>
    <row r="33" spans="1:35" s="3" customFormat="1" ht="22.15" customHeight="1">
      <c r="A33" s="63"/>
      <c r="B33" s="19" t="s">
        <v>64</v>
      </c>
      <c r="C33" s="7">
        <f>D33+'6月'!C33</f>
        <v>561.04</v>
      </c>
      <c r="D33" s="7">
        <f t="shared" si="8"/>
        <v>98.66</v>
      </c>
      <c r="E33" s="17"/>
      <c r="F33" s="15"/>
      <c r="G33" s="15"/>
      <c r="H33" s="15"/>
      <c r="I33" s="17"/>
      <c r="J33" s="17"/>
      <c r="K33" s="15"/>
      <c r="L33" s="17">
        <v>43.54</v>
      </c>
      <c r="M33" s="15">
        <v>42.4</v>
      </c>
      <c r="N33" s="15">
        <v>12.72</v>
      </c>
      <c r="O33" s="15"/>
      <c r="P33" s="17"/>
      <c r="Q33" s="15"/>
      <c r="R33" s="17"/>
      <c r="S33" s="15"/>
      <c r="T33" s="17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28"/>
      <c r="AF33" s="28"/>
      <c r="AG33" s="15"/>
      <c r="AH33" s="17"/>
      <c r="AI33" s="15"/>
    </row>
    <row r="34" spans="1:35" s="3" customFormat="1" ht="22.15" hidden="1" customHeight="1">
      <c r="A34" s="63"/>
      <c r="B34" s="19"/>
      <c r="C34" s="7">
        <f>D34+'6月'!C34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5"/>
      <c r="AF34" s="17"/>
      <c r="AG34" s="17"/>
      <c r="AH34" s="17"/>
      <c r="AI34" s="17"/>
    </row>
    <row r="35" spans="1:35" s="3" customFormat="1" ht="22.15" hidden="1" customHeight="1">
      <c r="A35" s="63"/>
      <c r="B35" s="19"/>
      <c r="C35" s="7">
        <f>D35+'6月'!C35</f>
        <v>0</v>
      </c>
      <c r="D35" s="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3" customFormat="1" ht="26.1" customHeight="1">
      <c r="A36" s="64"/>
      <c r="B36" s="12" t="s">
        <v>65</v>
      </c>
      <c r="C36" s="7">
        <f>D36+'6月'!C36</f>
        <v>306252.33999999997</v>
      </c>
      <c r="D36" s="7">
        <f t="shared" ref="D36:AI36" si="9">SUM(D20:D35)</f>
        <v>49468.1</v>
      </c>
      <c r="E36" s="7">
        <f t="shared" si="9"/>
        <v>1535.28</v>
      </c>
      <c r="F36" s="7">
        <f t="shared" si="9"/>
        <v>1599.6599999999999</v>
      </c>
      <c r="G36" s="7">
        <f t="shared" si="9"/>
        <v>1521</v>
      </c>
      <c r="H36" s="7">
        <f t="shared" si="9"/>
        <v>1667.48</v>
      </c>
      <c r="I36" s="7">
        <f t="shared" si="9"/>
        <v>1608.6399999999999</v>
      </c>
      <c r="J36" s="7">
        <f t="shared" si="9"/>
        <v>1437.06</v>
      </c>
      <c r="K36" s="7">
        <f t="shared" si="9"/>
        <v>1619.7600000000002</v>
      </c>
      <c r="L36" s="7">
        <f t="shared" si="9"/>
        <v>1708.7199999999998</v>
      </c>
      <c r="M36" s="7">
        <f t="shared" si="9"/>
        <v>1708.8</v>
      </c>
      <c r="N36" s="7">
        <f t="shared" si="9"/>
        <v>1650.32</v>
      </c>
      <c r="O36" s="7">
        <f t="shared" si="9"/>
        <v>1608.58</v>
      </c>
      <c r="P36" s="7">
        <f t="shared" si="9"/>
        <v>1474.1200000000001</v>
      </c>
      <c r="Q36" s="7">
        <f t="shared" si="9"/>
        <v>1569.1599999999999</v>
      </c>
      <c r="R36" s="7">
        <f t="shared" si="9"/>
        <v>1633.8000000000002</v>
      </c>
      <c r="S36" s="7">
        <f t="shared" si="9"/>
        <v>1631.7</v>
      </c>
      <c r="T36" s="7">
        <f t="shared" si="9"/>
        <v>1503</v>
      </c>
      <c r="U36" s="7">
        <f t="shared" si="9"/>
        <v>1566.56</v>
      </c>
      <c r="V36" s="7">
        <f t="shared" si="9"/>
        <v>1637.16</v>
      </c>
      <c r="W36" s="7">
        <f t="shared" si="9"/>
        <v>1533.96</v>
      </c>
      <c r="X36" s="7">
        <f t="shared" si="9"/>
        <v>1594.3200000000002</v>
      </c>
      <c r="Y36" s="7">
        <f t="shared" si="9"/>
        <v>1653.36</v>
      </c>
      <c r="Z36" s="7">
        <f t="shared" si="9"/>
        <v>1541.8600000000001</v>
      </c>
      <c r="AA36" s="7">
        <f t="shared" si="9"/>
        <v>1622.72</v>
      </c>
      <c r="AB36" s="7">
        <f t="shared" si="9"/>
        <v>1629.7200000000003</v>
      </c>
      <c r="AC36" s="7">
        <f t="shared" si="9"/>
        <v>1480.98</v>
      </c>
      <c r="AD36" s="7">
        <f t="shared" si="9"/>
        <v>1667.14</v>
      </c>
      <c r="AE36" s="7">
        <f t="shared" si="9"/>
        <v>1707.1599999999999</v>
      </c>
      <c r="AF36" s="7">
        <f t="shared" si="9"/>
        <v>1699.18</v>
      </c>
      <c r="AG36" s="7">
        <f t="shared" si="9"/>
        <v>1686.66</v>
      </c>
      <c r="AH36" s="7">
        <f t="shared" si="9"/>
        <v>1528.46</v>
      </c>
      <c r="AI36" s="7">
        <f t="shared" si="9"/>
        <v>1441.7799999999997</v>
      </c>
    </row>
    <row r="37" spans="1:35" s="3" customFormat="1" ht="26.25" customHeight="1">
      <c r="A37" s="61" t="s">
        <v>68</v>
      </c>
      <c r="B37" s="12" t="s">
        <v>66</v>
      </c>
      <c r="C37" s="7">
        <f>D37+'6月'!C37</f>
        <v>65724.22</v>
      </c>
      <c r="D37" s="7">
        <f>SUM(E37:AI37)</f>
        <v>8631.4599999999991</v>
      </c>
      <c r="E37" s="7">
        <v>252.62</v>
      </c>
      <c r="F37" s="7">
        <v>264.52</v>
      </c>
      <c r="G37" s="7">
        <v>325.02</v>
      </c>
      <c r="H37" s="7">
        <v>249.04</v>
      </c>
      <c r="I37" s="7">
        <v>297.02</v>
      </c>
      <c r="J37" s="7">
        <v>328.2</v>
      </c>
      <c r="K37" s="7">
        <v>281.48</v>
      </c>
      <c r="L37" s="7">
        <v>281.56</v>
      </c>
      <c r="M37" s="7">
        <v>290.98</v>
      </c>
      <c r="N37" s="7">
        <v>297.38</v>
      </c>
      <c r="O37" s="7">
        <v>298.16000000000003</v>
      </c>
      <c r="P37" s="7">
        <v>289.38</v>
      </c>
      <c r="Q37" s="7">
        <v>305.10000000000002</v>
      </c>
      <c r="R37" s="7">
        <v>283.88</v>
      </c>
      <c r="S37" s="7">
        <v>308.12</v>
      </c>
      <c r="T37" s="7">
        <v>231.06</v>
      </c>
      <c r="U37" s="7">
        <v>292.82</v>
      </c>
      <c r="V37" s="7">
        <v>262.86</v>
      </c>
      <c r="W37" s="7">
        <v>259.32</v>
      </c>
      <c r="X37" s="7">
        <v>330.22</v>
      </c>
      <c r="Y37" s="7">
        <v>254.76</v>
      </c>
      <c r="Z37" s="7">
        <v>267.82</v>
      </c>
      <c r="AA37" s="7">
        <v>255.7</v>
      </c>
      <c r="AB37" s="7">
        <v>290.92</v>
      </c>
      <c r="AC37" s="7">
        <v>328.06</v>
      </c>
      <c r="AD37" s="7">
        <v>272.98</v>
      </c>
      <c r="AE37" s="7">
        <v>0</v>
      </c>
      <c r="AF37" s="7">
        <v>272.39999999999998</v>
      </c>
      <c r="AG37" s="7">
        <v>363.8</v>
      </c>
      <c r="AH37" s="7">
        <v>292.72000000000003</v>
      </c>
      <c r="AI37" s="7">
        <v>303.56</v>
      </c>
    </row>
    <row r="38" spans="1:35" s="3" customFormat="1" ht="26.1" customHeight="1">
      <c r="A38" s="53"/>
      <c r="B38" s="12" t="s">
        <v>67</v>
      </c>
      <c r="C38" s="7">
        <f>D38+'6月'!C38</f>
        <v>6632.4400000000005</v>
      </c>
      <c r="D38" s="7">
        <f t="shared" ref="D38:D42" si="10">SUM(E38:AI38)</f>
        <v>938.42</v>
      </c>
      <c r="E38" s="7">
        <v>50.6</v>
      </c>
      <c r="F38" s="7">
        <v>0</v>
      </c>
      <c r="G38" s="7">
        <v>43.38</v>
      </c>
      <c r="H38" s="7">
        <v>31.06</v>
      </c>
      <c r="I38" s="7">
        <v>40.74</v>
      </c>
      <c r="J38" s="7">
        <v>20.059999999999999</v>
      </c>
      <c r="K38" s="7">
        <v>42.74</v>
      </c>
      <c r="L38" s="7">
        <v>7.1</v>
      </c>
      <c r="M38" s="7">
        <v>35.64</v>
      </c>
      <c r="N38" s="7">
        <v>28.6</v>
      </c>
      <c r="O38" s="7">
        <v>6.38</v>
      </c>
      <c r="P38" s="7">
        <v>10.58</v>
      </c>
      <c r="Q38" s="7">
        <v>48.62</v>
      </c>
      <c r="R38" s="7">
        <v>45.6</v>
      </c>
      <c r="S38" s="7">
        <v>29.14</v>
      </c>
      <c r="T38" s="7">
        <v>18.7</v>
      </c>
      <c r="U38" s="7">
        <v>31.1</v>
      </c>
      <c r="V38" s="7">
        <v>32.44</v>
      </c>
      <c r="W38" s="7">
        <v>20.94</v>
      </c>
      <c r="X38" s="7">
        <v>61.12</v>
      </c>
      <c r="Y38" s="7">
        <v>29</v>
      </c>
      <c r="Z38" s="7">
        <v>30.06</v>
      </c>
      <c r="AA38" s="7">
        <v>38.86</v>
      </c>
      <c r="AB38" s="7">
        <v>9.92</v>
      </c>
      <c r="AC38" s="7">
        <v>0</v>
      </c>
      <c r="AD38" s="7">
        <v>40.340000000000003</v>
      </c>
      <c r="AE38" s="7">
        <v>60.08</v>
      </c>
      <c r="AF38" s="7">
        <v>20.56</v>
      </c>
      <c r="AG38" s="7">
        <v>22.52</v>
      </c>
      <c r="AH38" s="7">
        <v>21.54</v>
      </c>
      <c r="AI38" s="7">
        <v>61</v>
      </c>
    </row>
    <row r="39" spans="1:35" s="3" customFormat="1" ht="24.95" customHeight="1">
      <c r="A39" s="54"/>
      <c r="B39" s="6" t="s">
        <v>69</v>
      </c>
      <c r="C39" s="7">
        <f>D39+'6月'!C39</f>
        <v>30016</v>
      </c>
      <c r="D39" s="7">
        <f t="shared" si="10"/>
        <v>6787</v>
      </c>
      <c r="E39" s="7">
        <v>399</v>
      </c>
      <c r="F39" s="7">
        <v>203</v>
      </c>
      <c r="G39" s="7">
        <v>182</v>
      </c>
      <c r="H39" s="7">
        <v>213</v>
      </c>
      <c r="I39" s="7">
        <v>341</v>
      </c>
      <c r="J39" s="7">
        <v>209</v>
      </c>
      <c r="K39" s="7">
        <v>114</v>
      </c>
      <c r="L39" s="7">
        <v>125</v>
      </c>
      <c r="M39" s="7">
        <v>225</v>
      </c>
      <c r="N39" s="7">
        <v>283</v>
      </c>
      <c r="O39" s="7">
        <v>188</v>
      </c>
      <c r="P39" s="7">
        <v>126</v>
      </c>
      <c r="Q39" s="7">
        <v>271</v>
      </c>
      <c r="R39" s="7">
        <v>248</v>
      </c>
      <c r="S39" s="7">
        <v>25</v>
      </c>
      <c r="T39" s="7">
        <v>0</v>
      </c>
      <c r="U39" s="7">
        <v>731</v>
      </c>
      <c r="V39" s="7">
        <v>80</v>
      </c>
      <c r="W39" s="7">
        <v>165</v>
      </c>
      <c r="X39" s="7">
        <v>242</v>
      </c>
      <c r="Y39" s="7">
        <v>135</v>
      </c>
      <c r="Z39" s="7">
        <v>312</v>
      </c>
      <c r="AA39" s="7">
        <v>86</v>
      </c>
      <c r="AB39" s="7">
        <v>332</v>
      </c>
      <c r="AC39" s="7">
        <v>231</v>
      </c>
      <c r="AD39" s="7">
        <v>160</v>
      </c>
      <c r="AE39" s="7">
        <v>152</v>
      </c>
      <c r="AF39" s="7">
        <v>361</v>
      </c>
      <c r="AG39" s="7">
        <v>282</v>
      </c>
      <c r="AH39" s="7">
        <v>67</v>
      </c>
      <c r="AI39" s="7">
        <v>299</v>
      </c>
    </row>
    <row r="40" spans="1:35" s="3" customFormat="1" ht="24.95" customHeight="1">
      <c r="A40" s="60" t="s">
        <v>70</v>
      </c>
      <c r="B40" s="6" t="s">
        <v>71</v>
      </c>
      <c r="C40" s="7">
        <f>D40+'6月'!C40</f>
        <v>505.20560000000006</v>
      </c>
      <c r="D40" s="7">
        <f t="shared" si="10"/>
        <v>78.669599999999988</v>
      </c>
      <c r="E40" s="32">
        <v>2.5760000000000001</v>
      </c>
      <c r="F40" s="32">
        <v>2.5760000000000001</v>
      </c>
      <c r="G40" s="32">
        <v>2.6680000000000001</v>
      </c>
      <c r="H40" s="32">
        <v>2.5760000000000001</v>
      </c>
      <c r="I40" s="32">
        <v>2.76</v>
      </c>
      <c r="J40" s="32">
        <v>2.8519999999999999</v>
      </c>
      <c r="K40" s="32">
        <v>2.76</v>
      </c>
      <c r="L40" s="32">
        <v>2.67</v>
      </c>
      <c r="M40" s="32">
        <v>2.67</v>
      </c>
      <c r="N40" s="32">
        <v>2.76</v>
      </c>
      <c r="O40" s="33">
        <v>2.76</v>
      </c>
      <c r="P40" s="33">
        <v>2.57</v>
      </c>
      <c r="Q40" s="33">
        <v>2.4104000000000001</v>
      </c>
      <c r="R40" s="33">
        <v>2.1711999999999998</v>
      </c>
      <c r="S40" s="33">
        <v>2.2799999999999998</v>
      </c>
      <c r="T40" s="33">
        <v>2.4300000000000002</v>
      </c>
      <c r="U40" s="33">
        <v>2.4700000000000002</v>
      </c>
      <c r="V40" s="33">
        <v>2.54</v>
      </c>
      <c r="W40" s="33">
        <v>2.31</v>
      </c>
      <c r="X40" s="33">
        <v>2.44</v>
      </c>
      <c r="Y40" s="32">
        <v>2.54</v>
      </c>
      <c r="Z40" s="32">
        <v>2.2000000000000002</v>
      </c>
      <c r="AA40" s="32">
        <v>2.52</v>
      </c>
      <c r="AB40" s="32">
        <v>2.2400000000000002</v>
      </c>
      <c r="AC40" s="32">
        <v>2.57</v>
      </c>
      <c r="AD40" s="32">
        <v>2.33</v>
      </c>
      <c r="AE40" s="32">
        <v>2.44</v>
      </c>
      <c r="AF40" s="32">
        <v>2.85</v>
      </c>
      <c r="AG40" s="32">
        <v>2.57</v>
      </c>
      <c r="AH40" s="32">
        <v>2.5499999999999998</v>
      </c>
      <c r="AI40" s="32">
        <v>2.61</v>
      </c>
    </row>
    <row r="41" spans="1:35" s="3" customFormat="1" ht="24.95" customHeight="1">
      <c r="A41" s="60"/>
      <c r="B41" s="6" t="s">
        <v>72</v>
      </c>
      <c r="C41" s="7">
        <f>D41+'6月'!C41</f>
        <v>2206.1000000000013</v>
      </c>
      <c r="D41" s="7">
        <f t="shared" si="10"/>
        <v>311.38000000000022</v>
      </c>
      <c r="E41" s="33">
        <v>10.76</v>
      </c>
      <c r="F41" s="33">
        <v>10.33</v>
      </c>
      <c r="G41" s="33">
        <v>9.06</v>
      </c>
      <c r="H41" s="33">
        <v>9.5299999999999994</v>
      </c>
      <c r="I41" s="33">
        <v>10.29</v>
      </c>
      <c r="J41" s="33">
        <v>10.28</v>
      </c>
      <c r="K41" s="33">
        <v>9.5299999999999994</v>
      </c>
      <c r="L41" s="33">
        <v>9.6999999999999993</v>
      </c>
      <c r="M41" s="33">
        <v>9.39</v>
      </c>
      <c r="N41" s="33">
        <v>9.89</v>
      </c>
      <c r="O41" s="32">
        <v>9.9600000000000009</v>
      </c>
      <c r="P41" s="32">
        <v>10.39</v>
      </c>
      <c r="Q41" s="32">
        <v>10.79</v>
      </c>
      <c r="R41" s="32">
        <v>9.93000000000022</v>
      </c>
      <c r="S41" s="32">
        <v>10.050000000000001</v>
      </c>
      <c r="T41" s="32">
        <v>9.89</v>
      </c>
      <c r="U41" s="32">
        <v>10.23</v>
      </c>
      <c r="V41" s="32">
        <v>9.5299999999999994</v>
      </c>
      <c r="W41" s="32">
        <v>10.44</v>
      </c>
      <c r="X41" s="32">
        <v>11.35</v>
      </c>
      <c r="Y41" s="32">
        <v>10.87</v>
      </c>
      <c r="Z41" s="32">
        <v>10.050000000000001</v>
      </c>
      <c r="AA41" s="32">
        <v>10.6</v>
      </c>
      <c r="AB41" s="32">
        <v>8.8800000000000008</v>
      </c>
      <c r="AC41" s="32">
        <v>9.77</v>
      </c>
      <c r="AD41" s="32">
        <v>8.99</v>
      </c>
      <c r="AE41" s="32">
        <v>9.64</v>
      </c>
      <c r="AF41" s="32">
        <v>11.16</v>
      </c>
      <c r="AG41" s="32">
        <v>10.37</v>
      </c>
      <c r="AH41" s="32">
        <v>10.74</v>
      </c>
      <c r="AI41" s="32">
        <v>8.99</v>
      </c>
    </row>
    <row r="42" spans="1:35" s="3" customFormat="1" ht="24.95" customHeight="1">
      <c r="A42" s="60"/>
      <c r="B42" s="6" t="s">
        <v>73</v>
      </c>
      <c r="C42" s="7">
        <f>D42+'6月'!C42</f>
        <v>150.33000000000007</v>
      </c>
      <c r="D42" s="7">
        <f t="shared" si="10"/>
        <v>21.950000000000045</v>
      </c>
      <c r="E42" s="33">
        <v>0.7</v>
      </c>
      <c r="F42" s="33">
        <v>0.67</v>
      </c>
      <c r="G42" s="33">
        <v>0.7</v>
      </c>
      <c r="H42" s="33">
        <v>0.7</v>
      </c>
      <c r="I42" s="33">
        <v>0.65</v>
      </c>
      <c r="J42" s="33">
        <v>0.7</v>
      </c>
      <c r="K42" s="33">
        <v>0.7</v>
      </c>
      <c r="L42" s="33">
        <v>0.7</v>
      </c>
      <c r="M42" s="33">
        <v>0.73</v>
      </c>
      <c r="N42" s="33">
        <v>0.7</v>
      </c>
      <c r="O42" s="32">
        <v>0.76</v>
      </c>
      <c r="P42" s="32">
        <v>0.7</v>
      </c>
      <c r="Q42" s="32">
        <v>0.72</v>
      </c>
      <c r="R42" s="32">
        <v>0.65</v>
      </c>
      <c r="S42" s="32">
        <v>0.7</v>
      </c>
      <c r="T42" s="32">
        <v>0.76</v>
      </c>
      <c r="U42" s="32">
        <v>0.66</v>
      </c>
      <c r="V42" s="32">
        <v>0.67</v>
      </c>
      <c r="W42" s="32">
        <v>0.65</v>
      </c>
      <c r="X42" s="32">
        <v>0.68</v>
      </c>
      <c r="Y42" s="32">
        <v>0.68000000000000704</v>
      </c>
      <c r="Z42" s="32">
        <v>0.71000000000003605</v>
      </c>
      <c r="AA42" s="32">
        <v>0.77</v>
      </c>
      <c r="AB42" s="32">
        <v>0.73</v>
      </c>
      <c r="AC42" s="32">
        <v>0.73</v>
      </c>
      <c r="AD42" s="32">
        <v>0.7</v>
      </c>
      <c r="AE42" s="32">
        <v>0.7</v>
      </c>
      <c r="AF42" s="32">
        <v>0.71</v>
      </c>
      <c r="AG42" s="32">
        <v>0.81</v>
      </c>
      <c r="AH42" s="32">
        <v>0.76</v>
      </c>
      <c r="AI42" s="32">
        <v>0.75</v>
      </c>
    </row>
    <row r="43" spans="1:35" s="1" customFormat="1" ht="18" customHeight="1">
      <c r="B43" s="20" t="s">
        <v>74</v>
      </c>
      <c r="C43" s="21">
        <f>C37/C5</f>
        <v>0.24044604780296103</v>
      </c>
      <c r="D43" s="21">
        <f>D37/D5</f>
        <v>0.21181237040036313</v>
      </c>
      <c r="G43" s="22"/>
    </row>
    <row r="44" spans="1:35" s="1" customFormat="1" ht="18" customHeight="1">
      <c r="B44" s="23" t="s">
        <v>75</v>
      </c>
      <c r="C44" s="24">
        <f>C38/C5</f>
        <v>2.4264175144113859E-2</v>
      </c>
      <c r="D44" s="24">
        <f>D38/D5</f>
        <v>2.3028429099029454E-2</v>
      </c>
      <c r="G44" s="22"/>
    </row>
    <row r="45" spans="1:35" s="1" customFormat="1" ht="18" customHeight="1">
      <c r="B45" s="23" t="s">
        <v>76</v>
      </c>
      <c r="C45" s="24">
        <f>C39/C5</f>
        <v>0.10981079076866455</v>
      </c>
      <c r="D45" s="24">
        <f>D39/D5</f>
        <v>0.16655010367970943</v>
      </c>
      <c r="G45" s="22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</sheetData>
  <mergeCells count="10">
    <mergeCell ref="A16:A18"/>
    <mergeCell ref="A40:A42"/>
    <mergeCell ref="A1:B1"/>
    <mergeCell ref="C1:AI1"/>
    <mergeCell ref="A3:A5"/>
    <mergeCell ref="A6:A8"/>
    <mergeCell ref="A9:A12"/>
    <mergeCell ref="A13:A15"/>
    <mergeCell ref="A20:A36"/>
    <mergeCell ref="A37:A39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AI68"/>
  <sheetViews>
    <sheetView topLeftCell="A33" zoomScale="180" zoomScaleNormal="180" workbookViewId="0">
      <pane xSplit="4" topLeftCell="V1" activePane="topRight" state="frozen"/>
      <selection pane="topRight" activeCell="A37" sqref="A37:A39"/>
    </sheetView>
  </sheetViews>
  <sheetFormatPr defaultColWidth="9" defaultRowHeight="13.5"/>
  <cols>
    <col min="1" max="1" width="8.75" style="4" customWidth="1"/>
    <col min="2" max="2" width="14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11.25" style="4" customWidth="1"/>
    <col min="35" max="35" width="9" style="4" customWidth="1"/>
    <col min="36" max="16384" width="9" style="4"/>
  </cols>
  <sheetData>
    <row r="1" spans="1:35" s="1" customFormat="1" ht="42.75" customHeight="1">
      <c r="A1" s="57">
        <v>44409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D3+'7月'!C3</f>
        <v>150842.00000000003</v>
      </c>
      <c r="D3" s="7">
        <f t="shared" ref="D3:D9" si="0">SUM(E3:AI3)</f>
        <v>18753.999999999996</v>
      </c>
      <c r="E3" s="7">
        <v>662.6</v>
      </c>
      <c r="F3" s="7">
        <v>656.6</v>
      </c>
      <c r="G3" s="7">
        <v>668.3</v>
      </c>
      <c r="H3" s="7">
        <v>688.4</v>
      </c>
      <c r="I3" s="7">
        <v>681.3</v>
      </c>
      <c r="J3" s="7">
        <v>716.5</v>
      </c>
      <c r="K3" s="7">
        <v>646.5</v>
      </c>
      <c r="L3" s="7">
        <v>724.6</v>
      </c>
      <c r="M3" s="7">
        <v>678.4</v>
      </c>
      <c r="N3" s="7">
        <v>660.5</v>
      </c>
      <c r="O3" s="7">
        <v>628.29999999999995</v>
      </c>
      <c r="P3" s="7">
        <v>731.4</v>
      </c>
      <c r="Q3" s="7">
        <v>695.3</v>
      </c>
      <c r="R3" s="7">
        <v>764.7</v>
      </c>
      <c r="S3" s="7">
        <v>718.3</v>
      </c>
      <c r="T3" s="7">
        <v>767.2</v>
      </c>
      <c r="U3" s="7">
        <v>726.6</v>
      </c>
      <c r="V3" s="7">
        <v>741</v>
      </c>
      <c r="W3" s="7">
        <v>712.1</v>
      </c>
      <c r="X3" s="7">
        <v>648.5</v>
      </c>
      <c r="Y3" s="7">
        <v>682.9</v>
      </c>
      <c r="Z3" s="7">
        <v>735.5</v>
      </c>
      <c r="AA3" s="7">
        <v>720.5</v>
      </c>
      <c r="AB3" s="7">
        <v>782.6</v>
      </c>
      <c r="AC3" s="7">
        <v>764.1</v>
      </c>
      <c r="AD3" s="7">
        <v>700.1</v>
      </c>
      <c r="AE3" s="7">
        <v>451.2</v>
      </c>
      <c r="AF3" s="7">
        <v>0</v>
      </c>
      <c r="AG3" s="7">
        <v>0</v>
      </c>
      <c r="AH3" s="7">
        <v>0</v>
      </c>
      <c r="AI3" s="29">
        <v>0</v>
      </c>
    </row>
    <row r="4" spans="1:35" s="3" customFormat="1" ht="26.25" customHeight="1">
      <c r="A4" s="51"/>
      <c r="B4" s="7" t="s">
        <v>37</v>
      </c>
      <c r="C4" s="7">
        <f>D4+'7月'!C4</f>
        <v>163451.09999999998</v>
      </c>
      <c r="D4" s="7">
        <f t="shared" si="0"/>
        <v>22196.199999999997</v>
      </c>
      <c r="E4" s="7">
        <v>673.8</v>
      </c>
      <c r="F4" s="7">
        <v>698.4</v>
      </c>
      <c r="G4" s="7">
        <v>684.7</v>
      </c>
      <c r="H4" s="7">
        <v>716.9</v>
      </c>
      <c r="I4" s="7">
        <v>718.6</v>
      </c>
      <c r="J4" s="7">
        <v>714.1</v>
      </c>
      <c r="K4" s="7">
        <v>717.1</v>
      </c>
      <c r="L4" s="7">
        <v>694.9</v>
      </c>
      <c r="M4" s="7">
        <v>757</v>
      </c>
      <c r="N4" s="7">
        <v>667.5</v>
      </c>
      <c r="O4" s="7">
        <v>639.29999999999995</v>
      </c>
      <c r="P4" s="7">
        <v>711.8</v>
      </c>
      <c r="Q4" s="7">
        <v>722</v>
      </c>
      <c r="R4" s="7">
        <v>781.4</v>
      </c>
      <c r="S4" s="7">
        <v>699</v>
      </c>
      <c r="T4" s="7">
        <v>808.1</v>
      </c>
      <c r="U4" s="7">
        <v>732.9</v>
      </c>
      <c r="V4" s="7">
        <v>769</v>
      </c>
      <c r="W4" s="7">
        <v>719.5</v>
      </c>
      <c r="X4" s="7">
        <v>657.2</v>
      </c>
      <c r="Y4" s="7">
        <v>621.1</v>
      </c>
      <c r="Z4" s="7">
        <v>755.3</v>
      </c>
      <c r="AA4" s="7">
        <v>732.7</v>
      </c>
      <c r="AB4" s="7">
        <v>795</v>
      </c>
      <c r="AC4" s="7">
        <v>704</v>
      </c>
      <c r="AD4" s="7">
        <v>743.1</v>
      </c>
      <c r="AE4" s="7">
        <v>800</v>
      </c>
      <c r="AF4" s="7">
        <v>699.7</v>
      </c>
      <c r="AG4" s="29">
        <v>660</v>
      </c>
      <c r="AH4" s="7">
        <v>675.5</v>
      </c>
      <c r="AI4" s="7">
        <v>726.6</v>
      </c>
    </row>
    <row r="5" spans="1:35" s="3" customFormat="1" ht="24.95" customHeight="1">
      <c r="A5" s="51"/>
      <c r="B5" s="7" t="s">
        <v>38</v>
      </c>
      <c r="C5" s="7">
        <f>D5+'7月'!C5</f>
        <v>314293.09999999998</v>
      </c>
      <c r="D5" s="7">
        <f t="shared" si="0"/>
        <v>40950.199999999983</v>
      </c>
      <c r="E5" s="7">
        <f>E3+E4</f>
        <v>1336.4</v>
      </c>
      <c r="F5" s="7">
        <f t="shared" ref="F5:AI5" si="1">F3+F4</f>
        <v>1355</v>
      </c>
      <c r="G5" s="7">
        <f t="shared" si="1"/>
        <v>1353</v>
      </c>
      <c r="H5" s="7">
        <f t="shared" si="1"/>
        <v>1405.3</v>
      </c>
      <c r="I5" s="7">
        <f t="shared" si="1"/>
        <v>1399.9</v>
      </c>
      <c r="J5" s="7">
        <f t="shared" si="1"/>
        <v>1430.6</v>
      </c>
      <c r="K5" s="7">
        <f t="shared" si="1"/>
        <v>1363.6</v>
      </c>
      <c r="L5" s="7">
        <f t="shared" si="1"/>
        <v>1419.5</v>
      </c>
      <c r="M5" s="7">
        <f t="shared" si="1"/>
        <v>1435.4</v>
      </c>
      <c r="N5" s="7">
        <f t="shared" si="1"/>
        <v>1328</v>
      </c>
      <c r="O5" s="7">
        <f t="shared" si="1"/>
        <v>1267.5999999999999</v>
      </c>
      <c r="P5" s="7">
        <f t="shared" si="1"/>
        <v>1443.1999999999998</v>
      </c>
      <c r="Q5" s="7">
        <f t="shared" si="1"/>
        <v>1417.3</v>
      </c>
      <c r="R5" s="7">
        <f t="shared" si="1"/>
        <v>1546.1</v>
      </c>
      <c r="S5" s="7">
        <f t="shared" si="1"/>
        <v>1417.3</v>
      </c>
      <c r="T5" s="7">
        <f t="shared" si="1"/>
        <v>1575.3000000000002</v>
      </c>
      <c r="U5" s="7">
        <f t="shared" si="1"/>
        <v>1459.5</v>
      </c>
      <c r="V5" s="7">
        <f t="shared" si="1"/>
        <v>1510</v>
      </c>
      <c r="W5" s="7">
        <f t="shared" si="1"/>
        <v>1431.6</v>
      </c>
      <c r="X5" s="7">
        <f t="shared" si="1"/>
        <v>1305.7</v>
      </c>
      <c r="Y5" s="7">
        <f t="shared" si="1"/>
        <v>1304</v>
      </c>
      <c r="Z5" s="7">
        <f t="shared" si="1"/>
        <v>1490.8</v>
      </c>
      <c r="AA5" s="7">
        <f t="shared" si="1"/>
        <v>1453.2</v>
      </c>
      <c r="AB5" s="7">
        <f t="shared" si="1"/>
        <v>1577.6</v>
      </c>
      <c r="AC5" s="7">
        <f t="shared" si="1"/>
        <v>1468.1</v>
      </c>
      <c r="AD5" s="7">
        <f t="shared" si="1"/>
        <v>1443.2</v>
      </c>
      <c r="AE5" s="7">
        <f t="shared" si="1"/>
        <v>1251.2</v>
      </c>
      <c r="AF5" s="7">
        <f t="shared" si="1"/>
        <v>699.7</v>
      </c>
      <c r="AG5" s="7">
        <f t="shared" si="1"/>
        <v>660</v>
      </c>
      <c r="AH5" s="7">
        <f t="shared" si="1"/>
        <v>675.5</v>
      </c>
      <c r="AI5" s="7">
        <f t="shared" si="1"/>
        <v>726.6</v>
      </c>
    </row>
    <row r="6" spans="1:35" s="3" customFormat="1" ht="24.95" customHeight="1">
      <c r="A6" s="51" t="s">
        <v>39</v>
      </c>
      <c r="B6" s="7" t="s">
        <v>40</v>
      </c>
      <c r="C6" s="7">
        <f>D6+'7月'!C6</f>
        <v>75982000</v>
      </c>
      <c r="D6" s="7">
        <f t="shared" si="0"/>
        <v>10594000</v>
      </c>
      <c r="E6" s="7">
        <v>352000</v>
      </c>
      <c r="F6" s="7">
        <v>352000</v>
      </c>
      <c r="G6" s="7">
        <v>350000</v>
      </c>
      <c r="H6" s="7">
        <v>344000</v>
      </c>
      <c r="I6" s="7">
        <v>350000</v>
      </c>
      <c r="J6" s="7">
        <v>348000</v>
      </c>
      <c r="K6" s="7">
        <v>348000</v>
      </c>
      <c r="L6" s="7">
        <v>346000</v>
      </c>
      <c r="M6" s="7">
        <v>344000</v>
      </c>
      <c r="N6" s="7">
        <v>344000</v>
      </c>
      <c r="O6" s="7">
        <v>348000</v>
      </c>
      <c r="P6" s="26">
        <v>338000</v>
      </c>
      <c r="Q6" s="7">
        <v>342000</v>
      </c>
      <c r="R6" s="7">
        <v>348000</v>
      </c>
      <c r="S6" s="7">
        <v>344000</v>
      </c>
      <c r="T6" s="7">
        <v>332000</v>
      </c>
      <c r="U6" s="26">
        <v>348000</v>
      </c>
      <c r="V6" s="26">
        <v>342000</v>
      </c>
      <c r="W6" s="7">
        <v>338000</v>
      </c>
      <c r="X6" s="7">
        <v>342000</v>
      </c>
      <c r="Y6" s="7">
        <v>328000</v>
      </c>
      <c r="Z6" s="7">
        <v>332000</v>
      </c>
      <c r="AA6" s="7">
        <v>334000</v>
      </c>
      <c r="AB6" s="7">
        <v>338000</v>
      </c>
      <c r="AC6" s="7">
        <v>340000</v>
      </c>
      <c r="AD6" s="7">
        <v>340000</v>
      </c>
      <c r="AE6" s="7">
        <v>338000</v>
      </c>
      <c r="AF6" s="7">
        <v>334000</v>
      </c>
      <c r="AG6" s="7">
        <v>328000</v>
      </c>
      <c r="AH6" s="7">
        <v>340000</v>
      </c>
      <c r="AI6" s="7">
        <v>342000</v>
      </c>
    </row>
    <row r="7" spans="1:35" s="3" customFormat="1" ht="24.95" customHeight="1">
      <c r="A7" s="51"/>
      <c r="B7" s="7" t="s">
        <v>41</v>
      </c>
      <c r="C7" s="7">
        <f>D7+'7月'!C7</f>
        <v>82368000</v>
      </c>
      <c r="D7" s="7">
        <f t="shared" si="0"/>
        <v>9230000</v>
      </c>
      <c r="E7" s="7">
        <v>352000</v>
      </c>
      <c r="F7" s="7">
        <v>352000</v>
      </c>
      <c r="G7" s="7">
        <v>352000</v>
      </c>
      <c r="H7" s="7">
        <v>342000</v>
      </c>
      <c r="I7" s="7">
        <v>354000</v>
      </c>
      <c r="J7" s="7">
        <v>346000</v>
      </c>
      <c r="K7" s="7">
        <v>348000</v>
      </c>
      <c r="L7" s="7">
        <v>352000</v>
      </c>
      <c r="M7" s="7">
        <v>348000</v>
      </c>
      <c r="N7" s="7">
        <v>350000</v>
      </c>
      <c r="O7" s="7">
        <v>344000</v>
      </c>
      <c r="P7" s="26">
        <v>342000</v>
      </c>
      <c r="Q7" s="7">
        <v>346000</v>
      </c>
      <c r="R7" s="7">
        <v>344000</v>
      </c>
      <c r="S7" s="7">
        <v>344000</v>
      </c>
      <c r="T7" s="7">
        <v>344000</v>
      </c>
      <c r="U7" s="7">
        <v>352000</v>
      </c>
      <c r="V7" s="7">
        <v>340000</v>
      </c>
      <c r="W7" s="7">
        <v>342000</v>
      </c>
      <c r="X7" s="7">
        <v>326000</v>
      </c>
      <c r="Y7" s="7">
        <v>330000</v>
      </c>
      <c r="Z7" s="7">
        <v>340000</v>
      </c>
      <c r="AA7" s="7">
        <v>344000</v>
      </c>
      <c r="AB7" s="7">
        <v>346000</v>
      </c>
      <c r="AC7" s="7">
        <v>342000</v>
      </c>
      <c r="AD7" s="7">
        <v>340000</v>
      </c>
      <c r="AE7" s="7">
        <v>268000</v>
      </c>
      <c r="AF7" s="7">
        <v>0</v>
      </c>
      <c r="AG7" s="7">
        <v>0</v>
      </c>
      <c r="AH7" s="7">
        <v>0</v>
      </c>
      <c r="AI7" s="26"/>
    </row>
    <row r="8" spans="1:35" s="3" customFormat="1" ht="24.95" customHeight="1">
      <c r="A8" s="51"/>
      <c r="B8" s="7" t="s">
        <v>38</v>
      </c>
      <c r="C8" s="7">
        <f>D8+'7月'!C8</f>
        <v>158350000</v>
      </c>
      <c r="D8" s="7">
        <f t="shared" si="0"/>
        <v>19824000</v>
      </c>
      <c r="E8" s="7">
        <f>E6+E7</f>
        <v>704000</v>
      </c>
      <c r="F8" s="7">
        <f t="shared" ref="F8:AI8" si="2">F6+F7</f>
        <v>704000</v>
      </c>
      <c r="G8" s="7">
        <f t="shared" si="2"/>
        <v>702000</v>
      </c>
      <c r="H8" s="7">
        <f t="shared" si="2"/>
        <v>686000</v>
      </c>
      <c r="I8" s="7">
        <f t="shared" si="2"/>
        <v>704000</v>
      </c>
      <c r="J8" s="7">
        <f t="shared" si="2"/>
        <v>694000</v>
      </c>
      <c r="K8" s="7">
        <f t="shared" si="2"/>
        <v>696000</v>
      </c>
      <c r="L8" s="7">
        <f t="shared" si="2"/>
        <v>698000</v>
      </c>
      <c r="M8" s="7">
        <f t="shared" si="2"/>
        <v>692000</v>
      </c>
      <c r="N8" s="7">
        <f t="shared" si="2"/>
        <v>694000</v>
      </c>
      <c r="O8" s="7">
        <f t="shared" si="2"/>
        <v>692000</v>
      </c>
      <c r="P8" s="7">
        <f t="shared" si="2"/>
        <v>680000</v>
      </c>
      <c r="Q8" s="7">
        <f t="shared" si="2"/>
        <v>688000</v>
      </c>
      <c r="R8" s="7">
        <f t="shared" si="2"/>
        <v>692000</v>
      </c>
      <c r="S8" s="7">
        <f t="shared" si="2"/>
        <v>688000</v>
      </c>
      <c r="T8" s="7">
        <f t="shared" si="2"/>
        <v>676000</v>
      </c>
      <c r="U8" s="7">
        <f t="shared" si="2"/>
        <v>700000</v>
      </c>
      <c r="V8" s="7">
        <f t="shared" si="2"/>
        <v>682000</v>
      </c>
      <c r="W8" s="7">
        <f t="shared" si="2"/>
        <v>680000</v>
      </c>
      <c r="X8" s="7">
        <f t="shared" si="2"/>
        <v>668000</v>
      </c>
      <c r="Y8" s="7">
        <f t="shared" si="2"/>
        <v>658000</v>
      </c>
      <c r="Z8" s="7">
        <f t="shared" si="2"/>
        <v>672000</v>
      </c>
      <c r="AA8" s="7">
        <f t="shared" si="2"/>
        <v>678000</v>
      </c>
      <c r="AB8" s="7">
        <f t="shared" si="2"/>
        <v>684000</v>
      </c>
      <c r="AC8" s="7">
        <f t="shared" si="2"/>
        <v>682000</v>
      </c>
      <c r="AD8" s="7">
        <f t="shared" si="2"/>
        <v>680000</v>
      </c>
      <c r="AE8" s="7">
        <f t="shared" si="2"/>
        <v>606000</v>
      </c>
      <c r="AF8" s="7">
        <f t="shared" si="2"/>
        <v>334000</v>
      </c>
      <c r="AG8" s="7">
        <f t="shared" si="2"/>
        <v>328000</v>
      </c>
      <c r="AH8" s="7">
        <f t="shared" si="2"/>
        <v>340000</v>
      </c>
      <c r="AI8" s="7">
        <f t="shared" si="2"/>
        <v>342000</v>
      </c>
    </row>
    <row r="9" spans="1:35" s="3" customFormat="1" ht="24.95" customHeight="1">
      <c r="A9" s="51" t="s">
        <v>42</v>
      </c>
      <c r="B9" s="7" t="s">
        <v>38</v>
      </c>
      <c r="C9" s="7">
        <f>D9+'7月'!C9</f>
        <v>136436000</v>
      </c>
      <c r="D9" s="7">
        <f t="shared" si="0"/>
        <v>16884000</v>
      </c>
      <c r="E9" s="7">
        <v>602000</v>
      </c>
      <c r="F9" s="7">
        <v>608000</v>
      </c>
      <c r="G9" s="7">
        <v>606000</v>
      </c>
      <c r="H9" s="7">
        <v>584000</v>
      </c>
      <c r="I9" s="7">
        <v>604000</v>
      </c>
      <c r="J9" s="7">
        <v>596000</v>
      </c>
      <c r="K9" s="7">
        <v>598000</v>
      </c>
      <c r="L9" s="7">
        <v>598000</v>
      </c>
      <c r="M9" s="7">
        <v>594000</v>
      </c>
      <c r="N9" s="7">
        <v>596000</v>
      </c>
      <c r="O9" s="7">
        <v>598000</v>
      </c>
      <c r="P9" s="7">
        <v>582000</v>
      </c>
      <c r="Q9" s="7">
        <v>588000</v>
      </c>
      <c r="R9" s="7">
        <v>596000</v>
      </c>
      <c r="S9" s="7">
        <v>584000</v>
      </c>
      <c r="T9" s="7">
        <v>578000</v>
      </c>
      <c r="U9" s="7">
        <v>602000</v>
      </c>
      <c r="V9" s="7">
        <v>584000</v>
      </c>
      <c r="W9" s="7">
        <v>582000</v>
      </c>
      <c r="X9" s="7">
        <v>570000</v>
      </c>
      <c r="Y9" s="7">
        <v>564000</v>
      </c>
      <c r="Z9" s="7">
        <v>570000</v>
      </c>
      <c r="AA9" s="7">
        <v>582000</v>
      </c>
      <c r="AB9" s="7">
        <v>584000</v>
      </c>
      <c r="AC9" s="7">
        <v>584000</v>
      </c>
      <c r="AD9" s="7">
        <v>584000</v>
      </c>
      <c r="AE9" s="7">
        <v>510000</v>
      </c>
      <c r="AF9" s="7">
        <v>260000</v>
      </c>
      <c r="AG9" s="7">
        <v>258000</v>
      </c>
      <c r="AH9" s="7">
        <v>268000</v>
      </c>
      <c r="AI9" s="7">
        <v>270000</v>
      </c>
    </row>
    <row r="10" spans="1:35" s="3" customFormat="1" ht="24.95" customHeight="1">
      <c r="A10" s="51"/>
      <c r="B10" s="6" t="s">
        <v>43</v>
      </c>
      <c r="C10" s="8">
        <f>C8/C5</f>
        <v>503.82906910778507</v>
      </c>
      <c r="D10" s="8">
        <f>D8/D5</f>
        <v>484.10019975482436</v>
      </c>
      <c r="E10" s="8">
        <f t="shared" ref="E10:AI10" si="3">E8/E5</f>
        <v>526.78838671056565</v>
      </c>
      <c r="F10" s="8">
        <f t="shared" si="3"/>
        <v>519.55719557195573</v>
      </c>
      <c r="G10" s="8">
        <f t="shared" si="3"/>
        <v>518.84700665188473</v>
      </c>
      <c r="H10" s="8">
        <f t="shared" si="3"/>
        <v>488.15199601508579</v>
      </c>
      <c r="I10" s="8">
        <f t="shared" si="3"/>
        <v>502.89306379027067</v>
      </c>
      <c r="J10" s="8">
        <f t="shared" si="3"/>
        <v>485.11114217810712</v>
      </c>
      <c r="K10" s="8">
        <f t="shared" si="3"/>
        <v>510.41361102962748</v>
      </c>
      <c r="L10" s="8">
        <f t="shared" si="3"/>
        <v>491.72243747798518</v>
      </c>
      <c r="M10" s="8">
        <f t="shared" si="3"/>
        <v>482.09558311272116</v>
      </c>
      <c r="N10" s="8">
        <f t="shared" si="3"/>
        <v>522.59036144578317</v>
      </c>
      <c r="O10" s="8">
        <f t="shared" si="3"/>
        <v>545.91353739349961</v>
      </c>
      <c r="P10" s="8">
        <f t="shared" si="3"/>
        <v>471.17516629711758</v>
      </c>
      <c r="Q10" s="8">
        <f t="shared" si="3"/>
        <v>485.4300430395823</v>
      </c>
      <c r="R10" s="8">
        <f t="shared" si="3"/>
        <v>447.5777763404696</v>
      </c>
      <c r="S10" s="8">
        <f t="shared" si="3"/>
        <v>485.4300430395823</v>
      </c>
      <c r="T10" s="8">
        <f t="shared" si="3"/>
        <v>429.12461118517103</v>
      </c>
      <c r="U10" s="8">
        <f t="shared" si="3"/>
        <v>479.61630695443642</v>
      </c>
      <c r="V10" s="8">
        <f t="shared" si="3"/>
        <v>451.65562913907286</v>
      </c>
      <c r="W10" s="8">
        <f t="shared" si="3"/>
        <v>474.99301480860578</v>
      </c>
      <c r="X10" s="8">
        <f t="shared" si="3"/>
        <v>511.60297158612235</v>
      </c>
      <c r="Y10" s="8">
        <f t="shared" si="3"/>
        <v>504.60122699386505</v>
      </c>
      <c r="Z10" s="8">
        <f t="shared" si="3"/>
        <v>450.76469009927558</v>
      </c>
      <c r="AA10" s="8">
        <f t="shared" si="3"/>
        <v>466.55656482246076</v>
      </c>
      <c r="AB10" s="8">
        <f t="shared" si="3"/>
        <v>433.56997971602436</v>
      </c>
      <c r="AC10" s="8">
        <f t="shared" si="3"/>
        <v>464.54601185205371</v>
      </c>
      <c r="AD10" s="8">
        <f t="shared" si="3"/>
        <v>471.17516629711753</v>
      </c>
      <c r="AE10" s="8">
        <f t="shared" si="3"/>
        <v>484.33503836317135</v>
      </c>
      <c r="AF10" s="8">
        <f t="shared" si="3"/>
        <v>477.34743461483492</v>
      </c>
      <c r="AG10" s="8">
        <f t="shared" si="3"/>
        <v>496.969696969697</v>
      </c>
      <c r="AH10" s="8">
        <f t="shared" si="3"/>
        <v>503.33086602516653</v>
      </c>
      <c r="AI10" s="8">
        <f t="shared" si="3"/>
        <v>470.68538398018165</v>
      </c>
    </row>
    <row r="11" spans="1:35" s="3" customFormat="1" ht="24.95" customHeight="1">
      <c r="A11" s="51"/>
      <c r="B11" s="9" t="s">
        <v>44</v>
      </c>
      <c r="C11" s="8">
        <f>(C8-C16)/C5</f>
        <v>434.09798051563973</v>
      </c>
      <c r="D11" s="8">
        <f>(D8-D16)/D5</f>
        <v>412.30567860474446</v>
      </c>
      <c r="E11" s="8">
        <f>(E8-E16)/E5</f>
        <v>450.46393295420529</v>
      </c>
      <c r="F11" s="8">
        <f>(F8-F16)/F5</f>
        <v>448.70848708487085</v>
      </c>
      <c r="G11" s="8">
        <f>(G8-G16)/G5</f>
        <v>447.89356984478934</v>
      </c>
      <c r="H11" s="8">
        <f>(H8-H16)/H5</f>
        <v>415.56962926065609</v>
      </c>
      <c r="I11" s="8">
        <f>(I8-I16)/I5</f>
        <v>431.45938995642541</v>
      </c>
      <c r="J11" s="8">
        <f>(J8-J16)/J5</f>
        <v>416.60841604921012</v>
      </c>
      <c r="K11" s="8">
        <f>(K8-K16)/K5</f>
        <v>438.54502786740983</v>
      </c>
      <c r="L11" s="8">
        <f>(L8-L16)/L5</f>
        <v>421.27509686509336</v>
      </c>
      <c r="M11" s="8">
        <f>(M8-M16)/M5</f>
        <v>413.82193116901209</v>
      </c>
      <c r="N11" s="8">
        <f>(N8-N16)/N5</f>
        <v>448.79518072289159</v>
      </c>
      <c r="O11" s="8">
        <f>(O8-O16)/O5</f>
        <v>471.75765225623229</v>
      </c>
      <c r="P11" s="8">
        <f>(P8-P16)/P5</f>
        <v>403.27050997782709</v>
      </c>
      <c r="Q11" s="8">
        <f>(Q8-Q16)/Q5</f>
        <v>414.87335073731742</v>
      </c>
      <c r="R11" s="8">
        <f>(R8-R16)/R5</f>
        <v>385.48606170364144</v>
      </c>
      <c r="S11" s="8">
        <f>(S8-S16)/S5</f>
        <v>412.05108304522685</v>
      </c>
      <c r="T11" s="8">
        <f>(T8-T16)/T5</f>
        <v>366.91423855773502</v>
      </c>
      <c r="U11" s="8">
        <f>(U8-U16)/U5</f>
        <v>412.47002398081537</v>
      </c>
      <c r="V11" s="8">
        <f>(V8-V16)/V5</f>
        <v>386.7549668874172</v>
      </c>
      <c r="W11" s="8">
        <f>(W8-W16)/W5</f>
        <v>406.53813914501262</v>
      </c>
      <c r="X11" s="8">
        <f>(X8-X16)/X5</f>
        <v>436.54744581450564</v>
      </c>
      <c r="Y11" s="8">
        <f>(Y8-Y16)/Y5</f>
        <v>432.51533742331287</v>
      </c>
      <c r="Z11" s="8">
        <f>(Z8-Z16)/Z5</f>
        <v>382.3450496377784</v>
      </c>
      <c r="AA11" s="8">
        <f>(AA8-AA16)/AA5</f>
        <v>400.49545829892651</v>
      </c>
      <c r="AB11" s="8">
        <f>(AB8-AB16)/AB5</f>
        <v>370.18255578093306</v>
      </c>
      <c r="AC11" s="8">
        <f>(AC8-AC16)/AC5</f>
        <v>397.79306586744775</v>
      </c>
      <c r="AD11" s="8">
        <f>(AD8-AD16)/AD5</f>
        <v>404.6563192904656</v>
      </c>
      <c r="AE11" s="8">
        <f>(AE8-AE16)/AE5</f>
        <v>407.60869565217388</v>
      </c>
      <c r="AF11" s="8">
        <f>(AF8-AF16)/AF5</f>
        <v>371.58782335286548</v>
      </c>
      <c r="AG11" s="8">
        <f>(AG8-AG16)/AG5</f>
        <v>390.90909090909093</v>
      </c>
      <c r="AH11" s="8">
        <f>(AH8-AH16)/AH5</f>
        <v>396.74315321983715</v>
      </c>
      <c r="AI11" s="8">
        <f>(AI8-AI16)/AI5</f>
        <v>371.59372419488028</v>
      </c>
    </row>
    <row r="12" spans="1:35" s="3" customFormat="1" ht="24.95" customHeight="1">
      <c r="A12" s="51"/>
      <c r="B12" s="6" t="s">
        <v>45</v>
      </c>
      <c r="C12" s="8">
        <f>D12+'7月'!C12</f>
        <v>359458.93599999999</v>
      </c>
      <c r="D12" s="8">
        <f t="shared" ref="D12:D17" si="4">SUM(E12:AI12)</f>
        <v>53206.600000000006</v>
      </c>
      <c r="E12" s="7">
        <v>1559.66</v>
      </c>
      <c r="F12" s="7">
        <v>1444.8</v>
      </c>
      <c r="G12" s="7">
        <v>1640.54</v>
      </c>
      <c r="H12" s="7">
        <v>1885.92</v>
      </c>
      <c r="I12" s="7">
        <v>1840.94</v>
      </c>
      <c r="J12" s="7">
        <v>1514.76</v>
      </c>
      <c r="K12" s="7">
        <v>1743.12</v>
      </c>
      <c r="L12" s="7">
        <v>1747.04</v>
      </c>
      <c r="M12" s="7">
        <v>1757.26</v>
      </c>
      <c r="N12" s="7">
        <v>1280.7</v>
      </c>
      <c r="O12" s="7">
        <v>1536.76</v>
      </c>
      <c r="P12" s="7">
        <v>1869.1</v>
      </c>
      <c r="Q12" s="7">
        <f>1717.96+34.18</f>
        <v>1752.14</v>
      </c>
      <c r="R12" s="7">
        <v>1581.68</v>
      </c>
      <c r="S12" s="7">
        <v>1968.2</v>
      </c>
      <c r="T12" s="7">
        <v>1814.32</v>
      </c>
      <c r="U12" s="7">
        <v>1964.02</v>
      </c>
      <c r="V12" s="7">
        <v>1923.42</v>
      </c>
      <c r="W12" s="7">
        <v>1675.26</v>
      </c>
      <c r="X12" s="7">
        <v>1704.8</v>
      </c>
      <c r="Y12" s="7">
        <v>1848.1</v>
      </c>
      <c r="Z12" s="7">
        <v>1886.04</v>
      </c>
      <c r="AA12" s="7">
        <v>2016.18</v>
      </c>
      <c r="AB12" s="7">
        <v>1806.66</v>
      </c>
      <c r="AC12" s="7">
        <v>1978.28</v>
      </c>
      <c r="AD12" s="12">
        <v>1721.9</v>
      </c>
      <c r="AE12" s="12">
        <v>1797.88</v>
      </c>
      <c r="AF12" s="7">
        <v>1487.62</v>
      </c>
      <c r="AG12" s="7">
        <v>1554.98</v>
      </c>
      <c r="AH12" s="7">
        <v>1398.9</v>
      </c>
      <c r="AI12" s="7">
        <v>1505.62</v>
      </c>
    </row>
    <row r="13" spans="1:35" s="3" customFormat="1" ht="24.95" customHeight="1">
      <c r="A13" s="52" t="s">
        <v>46</v>
      </c>
      <c r="B13" s="6" t="s">
        <v>36</v>
      </c>
      <c r="C13" s="8">
        <f>D13+'7月'!C13</f>
        <v>343976</v>
      </c>
      <c r="D13" s="10">
        <f t="shared" si="4"/>
        <v>41776</v>
      </c>
      <c r="E13" s="7">
        <f>517+519+523</f>
        <v>1559</v>
      </c>
      <c r="F13" s="7">
        <f>525+519+528</f>
        <v>1572</v>
      </c>
      <c r="G13" s="7">
        <f>534+524+510</f>
        <v>1568</v>
      </c>
      <c r="H13" s="7">
        <f>529+509+516</f>
        <v>1554</v>
      </c>
      <c r="I13" s="7">
        <f>523+540+516</f>
        <v>1579</v>
      </c>
      <c r="J13" s="7">
        <f>524+535+516</f>
        <v>1575</v>
      </c>
      <c r="K13" s="7">
        <f>516+515+528</f>
        <v>1559</v>
      </c>
      <c r="L13" s="7">
        <f>520+515+542</f>
        <v>1577</v>
      </c>
      <c r="M13" s="27">
        <f>525+518+523</f>
        <v>1566</v>
      </c>
      <c r="N13" s="7">
        <f>526+526+530</f>
        <v>1582</v>
      </c>
      <c r="O13" s="7">
        <f>535+521+516</f>
        <v>1572</v>
      </c>
      <c r="P13" s="27">
        <f>553+509+506</f>
        <v>1568</v>
      </c>
      <c r="Q13" s="7">
        <f>525+540+525</f>
        <v>1590</v>
      </c>
      <c r="R13" s="7">
        <f>523+539+544</f>
        <v>1606</v>
      </c>
      <c r="S13" s="7">
        <f>531+518+508</f>
        <v>1557</v>
      </c>
      <c r="T13" s="7">
        <f>522+511+534</f>
        <v>1567</v>
      </c>
      <c r="U13" s="7">
        <f>529+521+522</f>
        <v>1572</v>
      </c>
      <c r="V13" s="7">
        <f>550+528+509</f>
        <v>1587</v>
      </c>
      <c r="W13" s="7">
        <f>543+509+512</f>
        <v>1564</v>
      </c>
      <c r="X13" s="7">
        <f>507+506+506</f>
        <v>1519</v>
      </c>
      <c r="Y13" s="7">
        <f>503+505+515</f>
        <v>1523</v>
      </c>
      <c r="Z13" s="7">
        <f>490+525+520</f>
        <v>1535</v>
      </c>
      <c r="AA13" s="7">
        <f>523+504+510</f>
        <v>1537</v>
      </c>
      <c r="AB13" s="7">
        <f>518+512+526</f>
        <v>1556</v>
      </c>
      <c r="AC13" s="7">
        <f>525+496+531</f>
        <v>1552</v>
      </c>
      <c r="AD13" s="7">
        <f>518+494+487</f>
        <v>1499</v>
      </c>
      <c r="AE13" s="7">
        <f>527+498+156</f>
        <v>1181</v>
      </c>
      <c r="AF13" s="7">
        <v>0</v>
      </c>
      <c r="AG13" s="7">
        <v>0</v>
      </c>
      <c r="AH13" s="7">
        <v>0</v>
      </c>
      <c r="AI13" s="7">
        <v>0</v>
      </c>
    </row>
    <row r="14" spans="1:35" s="3" customFormat="1" ht="24.95" customHeight="1">
      <c r="A14" s="55"/>
      <c r="B14" s="6" t="s">
        <v>37</v>
      </c>
      <c r="C14" s="8">
        <f>D14+'7月'!C14</f>
        <v>370975</v>
      </c>
      <c r="D14" s="10">
        <f t="shared" si="4"/>
        <v>49515</v>
      </c>
      <c r="E14" s="7">
        <f>545+567+539</f>
        <v>1651</v>
      </c>
      <c r="F14" s="7">
        <f>550+561+549</f>
        <v>1660</v>
      </c>
      <c r="G14" s="7">
        <f>551+544+545</f>
        <v>1640</v>
      </c>
      <c r="H14" s="7">
        <f>532+537+518</f>
        <v>1587</v>
      </c>
      <c r="I14" s="7">
        <f>541+542+552</f>
        <v>1635</v>
      </c>
      <c r="J14" s="7">
        <f>540+538+520</f>
        <v>1598</v>
      </c>
      <c r="K14" s="7">
        <f>550+545+555</f>
        <v>1650</v>
      </c>
      <c r="L14" s="7">
        <f>558+540+540</f>
        <v>1638</v>
      </c>
      <c r="M14" s="27">
        <f>550+539+533</f>
        <v>1622</v>
      </c>
      <c r="N14" s="7">
        <f>542+538+544</f>
        <v>1624</v>
      </c>
      <c r="O14" s="7">
        <f>544+516+531</f>
        <v>1591</v>
      </c>
      <c r="P14" s="27">
        <f>529+531+524</f>
        <v>1584</v>
      </c>
      <c r="Q14" s="7">
        <f>547+534+578</f>
        <v>1659</v>
      </c>
      <c r="R14" s="7">
        <f>530+539+530</f>
        <v>1599</v>
      </c>
      <c r="S14" s="7">
        <f>541+529+537</f>
        <v>1607</v>
      </c>
      <c r="T14" s="7">
        <f>537+511+519</f>
        <v>1567</v>
      </c>
      <c r="U14" s="7">
        <f>554+552+532</f>
        <v>1638</v>
      </c>
      <c r="V14" s="7">
        <f>549+544+498</f>
        <v>1591</v>
      </c>
      <c r="W14" s="7">
        <f>539+522+500</f>
        <v>1561</v>
      </c>
      <c r="X14" s="7">
        <f>500+514+505</f>
        <v>1519</v>
      </c>
      <c r="Y14" s="7">
        <f>511+506+493</f>
        <v>1510</v>
      </c>
      <c r="Z14" s="7">
        <f>505+517+518</f>
        <v>1540</v>
      </c>
      <c r="AA14" s="7">
        <f>533+523+520</f>
        <v>1576</v>
      </c>
      <c r="AB14" s="7">
        <f>541+524+521</f>
        <v>1586</v>
      </c>
      <c r="AC14" s="7">
        <f>535+516+522</f>
        <v>1573</v>
      </c>
      <c r="AD14" s="7">
        <f>530+535+533</f>
        <v>1598</v>
      </c>
      <c r="AE14" s="7">
        <f>540+524+530</f>
        <v>1594</v>
      </c>
      <c r="AF14" s="7">
        <f>521+525+534</f>
        <v>1580</v>
      </c>
      <c r="AG14" s="7">
        <f>513+518+521</f>
        <v>1552</v>
      </c>
      <c r="AH14" s="7">
        <f>529+539+520</f>
        <v>1588</v>
      </c>
      <c r="AI14" s="7">
        <f>545+527+525</f>
        <v>1597</v>
      </c>
    </row>
    <row r="15" spans="1:35" s="3" customFormat="1" ht="24" customHeight="1">
      <c r="A15" s="56"/>
      <c r="B15" s="7" t="s">
        <v>38</v>
      </c>
      <c r="C15" s="8">
        <f>D15+'7月'!C15</f>
        <v>714951</v>
      </c>
      <c r="D15" s="7">
        <f t="shared" si="4"/>
        <v>91291</v>
      </c>
      <c r="E15" s="7">
        <f>E13+E14</f>
        <v>3210</v>
      </c>
      <c r="F15" s="7">
        <f t="shared" ref="F15:AI15" si="5">F13+F14</f>
        <v>3232</v>
      </c>
      <c r="G15" s="7">
        <f t="shared" si="5"/>
        <v>3208</v>
      </c>
      <c r="H15" s="7">
        <f t="shared" si="5"/>
        <v>3141</v>
      </c>
      <c r="I15" s="7">
        <f t="shared" si="5"/>
        <v>3214</v>
      </c>
      <c r="J15" s="7">
        <f t="shared" si="5"/>
        <v>3173</v>
      </c>
      <c r="K15" s="7">
        <f t="shared" si="5"/>
        <v>3209</v>
      </c>
      <c r="L15" s="7">
        <f t="shared" si="5"/>
        <v>3215</v>
      </c>
      <c r="M15" s="7">
        <f t="shared" si="5"/>
        <v>3188</v>
      </c>
      <c r="N15" s="7">
        <f t="shared" si="5"/>
        <v>3206</v>
      </c>
      <c r="O15" s="7">
        <f t="shared" si="5"/>
        <v>3163</v>
      </c>
      <c r="P15" s="7">
        <f t="shared" si="5"/>
        <v>3152</v>
      </c>
      <c r="Q15" s="7">
        <f t="shared" si="5"/>
        <v>3249</v>
      </c>
      <c r="R15" s="7">
        <f t="shared" si="5"/>
        <v>3205</v>
      </c>
      <c r="S15" s="7">
        <f t="shared" si="5"/>
        <v>3164</v>
      </c>
      <c r="T15" s="7">
        <f t="shared" si="5"/>
        <v>3134</v>
      </c>
      <c r="U15" s="7">
        <f t="shared" si="5"/>
        <v>3210</v>
      </c>
      <c r="V15" s="7">
        <f t="shared" si="5"/>
        <v>3178</v>
      </c>
      <c r="W15" s="7">
        <f t="shared" si="5"/>
        <v>3125</v>
      </c>
      <c r="X15" s="7">
        <f t="shared" si="5"/>
        <v>3038</v>
      </c>
      <c r="Y15" s="7">
        <f t="shared" si="5"/>
        <v>3033</v>
      </c>
      <c r="Z15" s="7">
        <f t="shared" si="5"/>
        <v>3075</v>
      </c>
      <c r="AA15" s="7">
        <f t="shared" si="5"/>
        <v>3113</v>
      </c>
      <c r="AB15" s="7">
        <f t="shared" si="5"/>
        <v>3142</v>
      </c>
      <c r="AC15" s="7">
        <f t="shared" si="5"/>
        <v>3125</v>
      </c>
      <c r="AD15" s="7">
        <f t="shared" si="5"/>
        <v>3097</v>
      </c>
      <c r="AE15" s="7">
        <f t="shared" si="5"/>
        <v>2775</v>
      </c>
      <c r="AF15" s="7">
        <f t="shared" si="5"/>
        <v>1580</v>
      </c>
      <c r="AG15" s="7">
        <f t="shared" si="5"/>
        <v>1552</v>
      </c>
      <c r="AH15" s="7">
        <f t="shared" si="5"/>
        <v>1588</v>
      </c>
      <c r="AI15" s="7">
        <f t="shared" si="5"/>
        <v>1597</v>
      </c>
    </row>
    <row r="16" spans="1:35" s="3" customFormat="1" ht="24.95" customHeight="1">
      <c r="A16" s="51" t="s">
        <v>47</v>
      </c>
      <c r="B16" s="7" t="s">
        <v>38</v>
      </c>
      <c r="C16" s="8">
        <f>D16+'7月'!C16</f>
        <v>21916000</v>
      </c>
      <c r="D16" s="7">
        <f t="shared" si="4"/>
        <v>2940000</v>
      </c>
      <c r="E16" s="7">
        <v>102000</v>
      </c>
      <c r="F16" s="7">
        <v>96000</v>
      </c>
      <c r="G16" s="7">
        <v>96000</v>
      </c>
      <c r="H16" s="7">
        <v>102000</v>
      </c>
      <c r="I16" s="7">
        <v>100000</v>
      </c>
      <c r="J16" s="7">
        <v>98000</v>
      </c>
      <c r="K16" s="7">
        <v>98000</v>
      </c>
      <c r="L16" s="7">
        <v>100000</v>
      </c>
      <c r="M16" s="7">
        <v>98000</v>
      </c>
      <c r="N16" s="7">
        <v>98000</v>
      </c>
      <c r="O16" s="7">
        <v>94000</v>
      </c>
      <c r="P16" s="7">
        <v>98000</v>
      </c>
      <c r="Q16" s="7">
        <v>100000</v>
      </c>
      <c r="R16" s="7">
        <v>96000</v>
      </c>
      <c r="S16" s="7">
        <v>104000</v>
      </c>
      <c r="T16" s="7">
        <v>98000</v>
      </c>
      <c r="U16" s="7">
        <v>98000</v>
      </c>
      <c r="V16" s="7">
        <v>98000</v>
      </c>
      <c r="W16" s="7">
        <v>98000</v>
      </c>
      <c r="X16" s="7">
        <v>98000</v>
      </c>
      <c r="Y16" s="7">
        <v>94000</v>
      </c>
      <c r="Z16" s="7">
        <v>102000</v>
      </c>
      <c r="AA16" s="7">
        <v>96000</v>
      </c>
      <c r="AB16" s="7">
        <v>100000</v>
      </c>
      <c r="AC16" s="7">
        <v>98000</v>
      </c>
      <c r="AD16" s="7">
        <v>96000</v>
      </c>
      <c r="AE16" s="7">
        <v>96000</v>
      </c>
      <c r="AF16" s="7">
        <v>74000</v>
      </c>
      <c r="AG16" s="7">
        <v>70000</v>
      </c>
      <c r="AH16" s="7">
        <v>72000</v>
      </c>
      <c r="AI16" s="7">
        <v>72000</v>
      </c>
    </row>
    <row r="17" spans="1:35" s="3" customFormat="1" ht="24.95" customHeight="1">
      <c r="A17" s="51"/>
      <c r="B17" s="7" t="s">
        <v>77</v>
      </c>
      <c r="C17" s="8">
        <f>D17+'7月'!C17</f>
        <v>1152940</v>
      </c>
      <c r="D17" s="7">
        <f t="shared" si="4"/>
        <v>212130</v>
      </c>
      <c r="E17" s="7">
        <v>7665</v>
      </c>
      <c r="F17" s="7">
        <v>3195</v>
      </c>
      <c r="G17" s="7">
        <v>4305</v>
      </c>
      <c r="H17" s="7">
        <v>7125</v>
      </c>
      <c r="I17" s="7">
        <v>6615</v>
      </c>
      <c r="J17" s="7">
        <v>6840</v>
      </c>
      <c r="K17" s="7">
        <v>6240</v>
      </c>
      <c r="L17" s="7">
        <v>6120</v>
      </c>
      <c r="M17" s="7">
        <v>6480</v>
      </c>
      <c r="N17" s="7">
        <v>6525</v>
      </c>
      <c r="O17" s="7">
        <v>5760</v>
      </c>
      <c r="P17" s="7">
        <v>5250</v>
      </c>
      <c r="Q17" s="7">
        <v>6675</v>
      </c>
      <c r="R17" s="7">
        <v>7725</v>
      </c>
      <c r="S17" s="7">
        <v>6900</v>
      </c>
      <c r="T17" s="7">
        <v>6405</v>
      </c>
      <c r="U17" s="7">
        <v>7245</v>
      </c>
      <c r="V17" s="7">
        <v>8220</v>
      </c>
      <c r="W17" s="7">
        <v>8040</v>
      </c>
      <c r="X17" s="7">
        <v>7650</v>
      </c>
      <c r="Y17" s="7">
        <v>8160</v>
      </c>
      <c r="Z17" s="7">
        <v>8310</v>
      </c>
      <c r="AA17" s="7">
        <v>7530</v>
      </c>
      <c r="AB17" s="7">
        <v>7080</v>
      </c>
      <c r="AC17" s="7">
        <v>7275</v>
      </c>
      <c r="AD17" s="7">
        <v>7785</v>
      </c>
      <c r="AE17" s="7">
        <v>7920</v>
      </c>
      <c r="AF17" s="7">
        <v>6945</v>
      </c>
      <c r="AG17" s="7">
        <v>7320</v>
      </c>
      <c r="AH17" s="7">
        <v>6420</v>
      </c>
      <c r="AI17" s="7">
        <v>6405</v>
      </c>
    </row>
    <row r="18" spans="1:35" s="3" customFormat="1" ht="24.95" customHeight="1">
      <c r="A18" s="51"/>
      <c r="B18" s="6" t="s">
        <v>48</v>
      </c>
      <c r="C18" s="11">
        <f>SUM(C16/C8)</f>
        <v>0.13840227344490053</v>
      </c>
      <c r="D18" s="11">
        <f>SUM(D16/D8)</f>
        <v>0.14830508474576271</v>
      </c>
      <c r="E18" s="11">
        <f>SUM(E16/E8)</f>
        <v>0.14488636363636365</v>
      </c>
      <c r="F18" s="11">
        <f>SUM(F16/F8)</f>
        <v>0.13636363636363635</v>
      </c>
      <c r="G18" s="11">
        <f>SUM(G16/G8)</f>
        <v>0.13675213675213677</v>
      </c>
      <c r="H18" s="11">
        <f>SUM(H16/H8)</f>
        <v>0.14868804664723032</v>
      </c>
      <c r="I18" s="11">
        <f>SUM(I16/I8)</f>
        <v>0.14204545454545456</v>
      </c>
      <c r="J18" s="11">
        <f>SUM(J16/J8)</f>
        <v>0.14121037463976946</v>
      </c>
      <c r="K18" s="11">
        <f>SUM(K16/K8)</f>
        <v>0.14080459770114942</v>
      </c>
      <c r="L18" s="11">
        <f>SUM(L16/L8)</f>
        <v>0.14326647564469913</v>
      </c>
      <c r="M18" s="11">
        <f>SUM(M16/M8)</f>
        <v>0.1416184971098266</v>
      </c>
      <c r="N18" s="11">
        <f>SUM(N16/N8)</f>
        <v>0.14121037463976946</v>
      </c>
      <c r="O18" s="11">
        <f>SUM(O16/O8)</f>
        <v>0.13583815028901733</v>
      </c>
      <c r="P18" s="11">
        <f>SUM(P16/P8)</f>
        <v>0.14411764705882352</v>
      </c>
      <c r="Q18" s="11">
        <f>SUM(Q16/Q8)</f>
        <v>0.14534883720930233</v>
      </c>
      <c r="R18" s="11">
        <f>SUM(R16/R8)</f>
        <v>0.13872832369942195</v>
      </c>
      <c r="S18" s="11">
        <f>SUM(S16/S8)</f>
        <v>0.15116279069767441</v>
      </c>
      <c r="T18" s="11">
        <f>SUM(T16/T8)</f>
        <v>0.14497041420118342</v>
      </c>
      <c r="U18" s="11">
        <f>SUM(U16/U8)</f>
        <v>0.14000000000000001</v>
      </c>
      <c r="V18" s="11">
        <f>SUM(V16/V8)</f>
        <v>0.14369501466275661</v>
      </c>
      <c r="W18" s="11">
        <f>SUM(W16/W8)</f>
        <v>0.14411764705882352</v>
      </c>
      <c r="X18" s="11">
        <f>SUM(X16/X8)</f>
        <v>0.1467065868263473</v>
      </c>
      <c r="Y18" s="11">
        <f>SUM(Y16/Y8)</f>
        <v>0.14285714285714285</v>
      </c>
      <c r="Z18" s="11">
        <f>SUM(Z16/Z8)</f>
        <v>0.15178571428571427</v>
      </c>
      <c r="AA18" s="11">
        <f>SUM(AA16/AA8)</f>
        <v>0.1415929203539823</v>
      </c>
      <c r="AB18" s="11">
        <f>SUM(AB16/AB8)</f>
        <v>0.14619883040935672</v>
      </c>
      <c r="AC18" s="11">
        <f>SUM(AC16/AC8)</f>
        <v>0.14369501466275661</v>
      </c>
      <c r="AD18" s="11">
        <f>SUM(AD16/AD8)</f>
        <v>0.14117647058823529</v>
      </c>
      <c r="AE18" s="11">
        <f>SUM(AE16/AE8)</f>
        <v>0.15841584158415842</v>
      </c>
      <c r="AF18" s="11">
        <f>SUM(AF16/AF8)</f>
        <v>0.22155688622754491</v>
      </c>
      <c r="AG18" s="11">
        <f>SUM(AG16/AG8)</f>
        <v>0.21341463414634146</v>
      </c>
      <c r="AH18" s="11">
        <f>SUM(AH16/AH8)</f>
        <v>0.21176470588235294</v>
      </c>
      <c r="AI18" s="11">
        <f>SUM(AI16/AI8)</f>
        <v>0.21052631578947367</v>
      </c>
    </row>
    <row r="19" spans="1:35" s="3" customFormat="1" ht="24.95" customHeight="1">
      <c r="A19" s="13"/>
      <c r="B19" s="13" t="s">
        <v>49</v>
      </c>
      <c r="C19" s="7">
        <f>D19+'7月'!C19</f>
        <v>62</v>
      </c>
      <c r="D19" s="7">
        <f t="shared" ref="D19" si="6">COUNT(E19:AI19)</f>
        <v>31</v>
      </c>
      <c r="E19" s="14">
        <v>15800</v>
      </c>
      <c r="F19" s="14">
        <v>15700</v>
      </c>
      <c r="G19" s="14">
        <v>15700</v>
      </c>
      <c r="H19" s="14">
        <v>16100</v>
      </c>
      <c r="I19" s="14">
        <v>16100</v>
      </c>
      <c r="J19" s="14">
        <v>16100</v>
      </c>
      <c r="K19" s="14">
        <v>16100</v>
      </c>
      <c r="L19" s="14">
        <v>16000</v>
      </c>
      <c r="M19" s="7">
        <v>16200</v>
      </c>
      <c r="N19" s="7">
        <v>16000</v>
      </c>
      <c r="O19" s="7">
        <v>16100</v>
      </c>
      <c r="P19" s="7">
        <v>16000</v>
      </c>
      <c r="Q19" s="7">
        <v>16100</v>
      </c>
      <c r="R19" s="7">
        <v>16000</v>
      </c>
      <c r="S19" s="7">
        <v>16500</v>
      </c>
      <c r="T19" s="7">
        <v>16100</v>
      </c>
      <c r="U19" s="7">
        <v>16300</v>
      </c>
      <c r="V19" s="7">
        <v>16400</v>
      </c>
      <c r="W19" s="7">
        <v>16400</v>
      </c>
      <c r="X19" s="7">
        <v>16600</v>
      </c>
      <c r="Y19" s="7">
        <v>16800</v>
      </c>
      <c r="Z19" s="7">
        <v>17000</v>
      </c>
      <c r="AA19" s="7">
        <v>17500</v>
      </c>
      <c r="AB19" s="7">
        <v>17300</v>
      </c>
      <c r="AC19" s="7">
        <v>17600</v>
      </c>
      <c r="AD19" s="7">
        <v>17700</v>
      </c>
      <c r="AE19" s="7">
        <v>18000</v>
      </c>
      <c r="AF19" s="7">
        <v>18600</v>
      </c>
      <c r="AG19" s="7">
        <v>19300</v>
      </c>
      <c r="AH19" s="7">
        <v>19800</v>
      </c>
      <c r="AI19" s="7">
        <v>20500</v>
      </c>
    </row>
    <row r="20" spans="1:35" s="3" customFormat="1" ht="24.95" customHeight="1">
      <c r="A20" s="62" t="s">
        <v>50</v>
      </c>
      <c r="B20" s="13" t="s">
        <v>51</v>
      </c>
      <c r="C20" s="7">
        <f>D20+'7月'!C20</f>
        <v>69049.000000000015</v>
      </c>
      <c r="D20" s="7">
        <f t="shared" ref="D20:D33" si="7">SUM(E20:AI20)</f>
        <v>9764.4200000000019</v>
      </c>
      <c r="E20" s="7">
        <v>345.5</v>
      </c>
      <c r="F20" s="15">
        <v>235.48</v>
      </c>
      <c r="G20" s="15">
        <v>338.34</v>
      </c>
      <c r="H20" s="15">
        <v>416.6</v>
      </c>
      <c r="I20" s="15">
        <v>329.16</v>
      </c>
      <c r="J20" s="15">
        <v>193.74</v>
      </c>
      <c r="K20" s="15">
        <v>293.52</v>
      </c>
      <c r="L20" s="15">
        <v>347.18</v>
      </c>
      <c r="M20" s="15">
        <v>251.16</v>
      </c>
      <c r="N20" s="15">
        <v>292.38</v>
      </c>
      <c r="O20" s="15">
        <v>284.7</v>
      </c>
      <c r="P20" s="15">
        <v>331.24</v>
      </c>
      <c r="Q20" s="15">
        <v>281.38</v>
      </c>
      <c r="R20" s="17">
        <v>273.94</v>
      </c>
      <c r="S20" s="15">
        <v>386.02</v>
      </c>
      <c r="T20" s="15">
        <v>348.68</v>
      </c>
      <c r="U20" s="15">
        <v>391.14</v>
      </c>
      <c r="V20" s="15">
        <v>371.6</v>
      </c>
      <c r="W20" s="15">
        <v>331</v>
      </c>
      <c r="X20" s="15">
        <v>269.38</v>
      </c>
      <c r="Y20" s="15">
        <v>251.96</v>
      </c>
      <c r="Z20" s="15">
        <v>318.88</v>
      </c>
      <c r="AA20" s="15">
        <v>308.2</v>
      </c>
      <c r="AB20" s="15">
        <v>289.18</v>
      </c>
      <c r="AC20" s="15">
        <v>297.56</v>
      </c>
      <c r="AD20" s="15">
        <v>281.32</v>
      </c>
      <c r="AE20" s="15">
        <v>293.10000000000002</v>
      </c>
      <c r="AF20" s="15">
        <v>339.44</v>
      </c>
      <c r="AG20" s="15">
        <v>339.84</v>
      </c>
      <c r="AH20" s="15">
        <v>346.14</v>
      </c>
      <c r="AI20" s="15">
        <v>386.66</v>
      </c>
    </row>
    <row r="21" spans="1:35" s="3" customFormat="1" ht="24.95" customHeight="1">
      <c r="A21" s="63"/>
      <c r="B21" s="16" t="s">
        <v>52</v>
      </c>
      <c r="C21" s="7">
        <f>D21+'7月'!C21</f>
        <v>5473.119999999999</v>
      </c>
      <c r="D21" s="7">
        <f t="shared" si="7"/>
        <v>2048.6</v>
      </c>
      <c r="E21" s="17"/>
      <c r="F21" s="15">
        <v>34.64</v>
      </c>
      <c r="G21" s="15">
        <v>26.8</v>
      </c>
      <c r="H21" s="15">
        <v>31.3</v>
      </c>
      <c r="I21" s="15">
        <v>51.18</v>
      </c>
      <c r="J21" s="15">
        <v>51.9</v>
      </c>
      <c r="K21" s="15">
        <v>47.86</v>
      </c>
      <c r="L21" s="15">
        <v>50.44</v>
      </c>
      <c r="M21" s="15">
        <v>46.8</v>
      </c>
      <c r="N21" s="15">
        <v>49.04</v>
      </c>
      <c r="O21" s="15">
        <v>51.58</v>
      </c>
      <c r="P21" s="15">
        <v>51.7</v>
      </c>
      <c r="Q21" s="15">
        <v>52.84</v>
      </c>
      <c r="R21" s="17">
        <v>53.78</v>
      </c>
      <c r="S21" s="15">
        <v>47.38</v>
      </c>
      <c r="T21" s="15">
        <v>53.26</v>
      </c>
      <c r="U21" s="15">
        <v>49.98</v>
      </c>
      <c r="V21" s="15">
        <v>45.92</v>
      </c>
      <c r="W21" s="15">
        <v>50.5</v>
      </c>
      <c r="X21" s="15">
        <v>106.56</v>
      </c>
      <c r="Y21" s="15">
        <v>97.3</v>
      </c>
      <c r="Z21" s="15">
        <v>110.1</v>
      </c>
      <c r="AA21" s="15">
        <v>96.26</v>
      </c>
      <c r="AB21" s="15">
        <v>80.38</v>
      </c>
      <c r="AC21" s="15">
        <v>100.82</v>
      </c>
      <c r="AD21" s="15">
        <v>113.98</v>
      </c>
      <c r="AE21" s="15">
        <v>96.58</v>
      </c>
      <c r="AF21" s="15">
        <v>95.82</v>
      </c>
      <c r="AG21" s="15">
        <v>103.84</v>
      </c>
      <c r="AH21" s="15">
        <v>98.28</v>
      </c>
      <c r="AI21" s="15">
        <v>101.78</v>
      </c>
    </row>
    <row r="22" spans="1:35" s="3" customFormat="1" ht="24.95" customHeight="1">
      <c r="A22" s="63"/>
      <c r="B22" s="16" t="s">
        <v>53</v>
      </c>
      <c r="C22" s="7">
        <f>D22+'7月'!C22</f>
        <v>0</v>
      </c>
      <c r="D22" s="7">
        <f t="shared" si="7"/>
        <v>0</v>
      </c>
      <c r="E22" s="17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4.95" customHeight="1">
      <c r="A23" s="63"/>
      <c r="B23" s="13" t="s">
        <v>54</v>
      </c>
      <c r="C23" s="7">
        <f>D23+'7月'!C23</f>
        <v>2536.52</v>
      </c>
      <c r="D23" s="7">
        <f t="shared" si="7"/>
        <v>0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3" t="s">
        <v>55</v>
      </c>
      <c r="C24" s="7">
        <f>D24+'7月'!C24</f>
        <v>2890.84</v>
      </c>
      <c r="D24" s="7">
        <f t="shared" si="7"/>
        <v>0</v>
      </c>
      <c r="E24" s="17"/>
      <c r="F24" s="15"/>
      <c r="G24" s="15"/>
      <c r="H24" s="15"/>
      <c r="I24" s="17"/>
      <c r="J24" s="17"/>
      <c r="K24" s="15"/>
      <c r="L24" s="17"/>
      <c r="M24" s="15"/>
      <c r="N24" s="15"/>
      <c r="O24" s="15"/>
      <c r="P24" s="17"/>
      <c r="Q24" s="15"/>
      <c r="R24" s="17"/>
      <c r="S24" s="15"/>
      <c r="T24" s="17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7"/>
      <c r="AI24" s="15"/>
    </row>
    <row r="25" spans="1:35" s="3" customFormat="1" ht="22.15" customHeight="1">
      <c r="A25" s="63"/>
      <c r="B25" s="18" t="s">
        <v>56</v>
      </c>
      <c r="C25" s="7">
        <f>D25+'7月'!C25</f>
        <v>0</v>
      </c>
      <c r="D25" s="7">
        <f t="shared" si="7"/>
        <v>0</v>
      </c>
      <c r="E25" s="17"/>
      <c r="F25" s="15"/>
      <c r="G25" s="15"/>
      <c r="H25" s="15"/>
      <c r="I25" s="17"/>
      <c r="J25" s="17"/>
      <c r="K25" s="15"/>
      <c r="L25" s="17"/>
      <c r="M25" s="15"/>
      <c r="N25" s="15"/>
      <c r="O25" s="15"/>
      <c r="P25" s="17"/>
      <c r="Q25" s="15"/>
      <c r="R25" s="17"/>
      <c r="S25" s="15"/>
      <c r="T25" s="17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7"/>
      <c r="AI25" s="15"/>
    </row>
    <row r="26" spans="1:35" s="3" customFormat="1" ht="22.15" customHeight="1">
      <c r="A26" s="63"/>
      <c r="B26" s="16" t="s">
        <v>57</v>
      </c>
      <c r="C26" s="7">
        <f>D26+'7月'!C26</f>
        <v>59384.06</v>
      </c>
      <c r="D26" s="7">
        <f t="shared" si="7"/>
        <v>7992.94</v>
      </c>
      <c r="E26" s="17">
        <v>266.45999999999998</v>
      </c>
      <c r="F26" s="15">
        <v>278.94</v>
      </c>
      <c r="G26" s="15">
        <v>238.04</v>
      </c>
      <c r="H26" s="15">
        <v>245.06</v>
      </c>
      <c r="I26" s="17">
        <v>291.08</v>
      </c>
      <c r="J26" s="17">
        <v>245.34</v>
      </c>
      <c r="K26" s="15">
        <v>224.38</v>
      </c>
      <c r="L26" s="17">
        <v>260.26</v>
      </c>
      <c r="M26" s="15">
        <v>387.2</v>
      </c>
      <c r="N26" s="15">
        <v>212.18</v>
      </c>
      <c r="O26" s="15">
        <v>224.82</v>
      </c>
      <c r="P26" s="17">
        <v>295.8</v>
      </c>
      <c r="Q26" s="15">
        <v>284.58</v>
      </c>
      <c r="R26" s="17">
        <v>246.96</v>
      </c>
      <c r="S26" s="15">
        <v>270.94</v>
      </c>
      <c r="T26" s="17">
        <v>261.08</v>
      </c>
      <c r="U26" s="15">
        <v>262.66000000000003</v>
      </c>
      <c r="V26" s="15">
        <v>226.96</v>
      </c>
      <c r="W26" s="15">
        <v>264.24</v>
      </c>
      <c r="X26" s="15">
        <v>243.24</v>
      </c>
      <c r="Y26" s="15">
        <v>234.36</v>
      </c>
      <c r="Z26" s="15">
        <v>246.7</v>
      </c>
      <c r="AA26" s="15">
        <v>285.82</v>
      </c>
      <c r="AB26" s="15">
        <v>237.06</v>
      </c>
      <c r="AC26" s="15">
        <v>271.54000000000002</v>
      </c>
      <c r="AD26" s="15">
        <v>261.62</v>
      </c>
      <c r="AE26" s="15">
        <v>253.34</v>
      </c>
      <c r="AF26" s="15">
        <v>235.02</v>
      </c>
      <c r="AG26" s="15">
        <v>248.22</v>
      </c>
      <c r="AH26" s="17">
        <v>246.14</v>
      </c>
      <c r="AI26" s="15">
        <v>242.9</v>
      </c>
    </row>
    <row r="27" spans="1:35" s="3" customFormat="1" ht="22.15" customHeight="1">
      <c r="A27" s="63"/>
      <c r="B27" s="16" t="s">
        <v>78</v>
      </c>
      <c r="C27" s="7">
        <f>D27+'7月'!C27</f>
        <v>2641.76</v>
      </c>
      <c r="D27" s="7">
        <f t="shared" si="7"/>
        <v>2641.76</v>
      </c>
      <c r="E27" s="17"/>
      <c r="F27" s="15"/>
      <c r="G27" s="15"/>
      <c r="H27" s="15"/>
      <c r="I27" s="17"/>
      <c r="J27" s="17"/>
      <c r="K27" s="15"/>
      <c r="L27" s="17"/>
      <c r="M27" s="15"/>
      <c r="N27" s="15"/>
      <c r="O27" s="15"/>
      <c r="P27" s="17"/>
      <c r="Q27" s="15">
        <v>161.88</v>
      </c>
      <c r="R27" s="17">
        <v>162.44</v>
      </c>
      <c r="S27" s="15">
        <v>126.24</v>
      </c>
      <c r="T27" s="17">
        <v>86.72</v>
      </c>
      <c r="U27" s="15">
        <v>150.38</v>
      </c>
      <c r="V27" s="15">
        <v>199.94</v>
      </c>
      <c r="W27" s="15">
        <v>182.48</v>
      </c>
      <c r="X27" s="15">
        <v>186.48</v>
      </c>
      <c r="Y27" s="15">
        <v>229.5</v>
      </c>
      <c r="Z27" s="15">
        <v>178.86</v>
      </c>
      <c r="AA27" s="15">
        <v>175.64</v>
      </c>
      <c r="AB27" s="15">
        <v>171.02</v>
      </c>
      <c r="AC27" s="15">
        <v>188.32</v>
      </c>
      <c r="AD27" s="15">
        <v>150.04</v>
      </c>
      <c r="AE27" s="15">
        <v>291.82</v>
      </c>
      <c r="AF27" s="15">
        <v>0</v>
      </c>
      <c r="AG27" s="15">
        <v>0</v>
      </c>
      <c r="AH27" s="17">
        <v>0</v>
      </c>
      <c r="AI27" s="15">
        <v>0</v>
      </c>
    </row>
    <row r="28" spans="1:35" s="3" customFormat="1" ht="22.15" customHeight="1">
      <c r="A28" s="63"/>
      <c r="B28" s="19" t="s">
        <v>59</v>
      </c>
      <c r="C28" s="7">
        <f>D28+'7月'!C28</f>
        <v>41721.180000000008</v>
      </c>
      <c r="D28" s="7">
        <f t="shared" si="7"/>
        <v>5833.34</v>
      </c>
      <c r="E28" s="17">
        <v>197.34</v>
      </c>
      <c r="F28" s="15">
        <v>187.86</v>
      </c>
      <c r="G28" s="15">
        <v>209.52</v>
      </c>
      <c r="H28" s="15">
        <v>228.26</v>
      </c>
      <c r="I28" s="17">
        <v>194.04</v>
      </c>
      <c r="J28" s="17">
        <v>183.62</v>
      </c>
      <c r="K28" s="15">
        <v>212.66</v>
      </c>
      <c r="L28" s="17">
        <v>212.9</v>
      </c>
      <c r="M28" s="15">
        <v>196.56</v>
      </c>
      <c r="N28" s="15">
        <v>194.72</v>
      </c>
      <c r="O28" s="15">
        <v>198.96</v>
      </c>
      <c r="P28" s="17">
        <v>194.48</v>
      </c>
      <c r="Q28" s="15">
        <v>212.22</v>
      </c>
      <c r="R28" s="17">
        <v>190.52</v>
      </c>
      <c r="S28" s="15">
        <v>195.14</v>
      </c>
      <c r="T28" s="17">
        <v>202.36</v>
      </c>
      <c r="U28" s="15">
        <v>214.36</v>
      </c>
      <c r="V28" s="15">
        <v>186.72</v>
      </c>
      <c r="W28" s="15">
        <v>200.14</v>
      </c>
      <c r="X28" s="15">
        <v>200.84</v>
      </c>
      <c r="Y28" s="15">
        <v>182.24</v>
      </c>
      <c r="Z28" s="15">
        <v>172.66</v>
      </c>
      <c r="AA28" s="15">
        <v>212.04</v>
      </c>
      <c r="AB28" s="15">
        <v>204</v>
      </c>
      <c r="AC28" s="15">
        <v>193.04</v>
      </c>
      <c r="AD28" s="15">
        <v>183.86</v>
      </c>
      <c r="AE28" s="15">
        <v>178.22</v>
      </c>
      <c r="AF28" s="15">
        <v>184.34</v>
      </c>
      <c r="AG28" s="15">
        <v>190.04</v>
      </c>
      <c r="AH28" s="17">
        <v>119.68</v>
      </c>
      <c r="AI28" s="15">
        <v>0</v>
      </c>
    </row>
    <row r="29" spans="1:35" s="3" customFormat="1" ht="22.15" customHeight="1">
      <c r="A29" s="63"/>
      <c r="B29" s="19" t="s">
        <v>60</v>
      </c>
      <c r="C29" s="7">
        <f>D29+'7月'!C29</f>
        <v>46754.7</v>
      </c>
      <c r="D29" s="7">
        <f t="shared" si="7"/>
        <v>8016.16</v>
      </c>
      <c r="E29" s="17">
        <v>156.18</v>
      </c>
      <c r="F29" s="15">
        <f>171.34+46.48</f>
        <v>217.82</v>
      </c>
      <c r="G29" s="15">
        <f>138.68+84.14</f>
        <v>222.82</v>
      </c>
      <c r="H29" s="15">
        <f>153.06+193.94</f>
        <v>347</v>
      </c>
      <c r="I29" s="17">
        <f>163.38+120.84</f>
        <v>284.22000000000003</v>
      </c>
      <c r="J29" s="17">
        <f>152.02+182.82</f>
        <v>334.84000000000003</v>
      </c>
      <c r="K29" s="15">
        <f>164.54+217.22</f>
        <v>381.76</v>
      </c>
      <c r="L29" s="17">
        <f>156.56+181.66</f>
        <v>338.22</v>
      </c>
      <c r="M29" s="15">
        <f>165.36+207.9</f>
        <v>373.26</v>
      </c>
      <c r="N29" s="15">
        <v>140.18</v>
      </c>
      <c r="O29" s="15">
        <v>153.13999999999999</v>
      </c>
      <c r="P29" s="17">
        <f>134.66+192.24</f>
        <v>326.89999999999998</v>
      </c>
      <c r="Q29" s="15">
        <f>163.82+36.34</f>
        <v>200.16</v>
      </c>
      <c r="R29" s="17">
        <v>161.58000000000001</v>
      </c>
      <c r="S29" s="15">
        <f>155.34+206.06</f>
        <v>361.4</v>
      </c>
      <c r="T29" s="17">
        <f>179.66+128.18</f>
        <v>307.84000000000003</v>
      </c>
      <c r="U29" s="15">
        <f>169.36+198.32</f>
        <v>367.68</v>
      </c>
      <c r="V29" s="15">
        <f>203.78+132.08</f>
        <v>335.86</v>
      </c>
      <c r="W29" s="15">
        <f>157.74+10.54</f>
        <v>168.28</v>
      </c>
      <c r="X29" s="15">
        <v>167.1</v>
      </c>
      <c r="Y29" s="15">
        <f>140.72+199.44</f>
        <v>340.15999999999997</v>
      </c>
      <c r="Z29" s="15">
        <f>151.52+195.28</f>
        <v>346.8</v>
      </c>
      <c r="AA29" s="15">
        <f>162.02+200.12</f>
        <v>362.14</v>
      </c>
      <c r="AB29" s="15">
        <f>144+204.44</f>
        <v>348.44</v>
      </c>
      <c r="AC29" s="15">
        <f>172.66+203.4</f>
        <v>376.06</v>
      </c>
      <c r="AD29" s="15">
        <v>154.46</v>
      </c>
      <c r="AE29" s="15">
        <v>154.4</v>
      </c>
      <c r="AF29" s="15">
        <v>147.74</v>
      </c>
      <c r="AG29" s="15">
        <v>139.36000000000001</v>
      </c>
      <c r="AH29" s="17">
        <v>150.68</v>
      </c>
      <c r="AI29" s="15">
        <v>149.68</v>
      </c>
    </row>
    <row r="30" spans="1:35" s="3" customFormat="1" ht="22.15" customHeight="1">
      <c r="A30" s="63"/>
      <c r="B30" s="19" t="s">
        <v>61</v>
      </c>
      <c r="C30" s="7">
        <f>D30+'7月'!C30</f>
        <v>128250.38</v>
      </c>
      <c r="D30" s="7">
        <f t="shared" si="7"/>
        <v>16758.04</v>
      </c>
      <c r="E30" s="17">
        <v>594.17999999999995</v>
      </c>
      <c r="F30" s="15">
        <v>471.22</v>
      </c>
      <c r="G30" s="15">
        <v>605.02</v>
      </c>
      <c r="H30" s="15">
        <v>587.08000000000004</v>
      </c>
      <c r="I30" s="17">
        <v>691.26</v>
      </c>
      <c r="J30" s="17">
        <v>505.32</v>
      </c>
      <c r="K30" s="15">
        <v>582.94000000000005</v>
      </c>
      <c r="L30" s="17">
        <v>538.04</v>
      </c>
      <c r="M30" s="15">
        <v>502.28</v>
      </c>
      <c r="N30" s="15">
        <v>392.2</v>
      </c>
      <c r="O30" s="15">
        <v>623.55999999999995</v>
      </c>
      <c r="P30" s="17">
        <v>668.98</v>
      </c>
      <c r="Q30" s="15">
        <v>524.9</v>
      </c>
      <c r="R30" s="17">
        <v>492.46</v>
      </c>
      <c r="S30" s="15">
        <v>581.08000000000004</v>
      </c>
      <c r="T30" s="17">
        <v>554.38</v>
      </c>
      <c r="U30" s="15">
        <v>527.82000000000005</v>
      </c>
      <c r="V30" s="15">
        <v>556.41999999999996</v>
      </c>
      <c r="W30" s="15">
        <v>478.62</v>
      </c>
      <c r="X30" s="15">
        <v>531.20000000000005</v>
      </c>
      <c r="Y30" s="15">
        <v>512.58000000000004</v>
      </c>
      <c r="Z30" s="15">
        <v>512.04</v>
      </c>
      <c r="AA30" s="15">
        <v>576.08000000000004</v>
      </c>
      <c r="AB30" s="15">
        <v>476.58</v>
      </c>
      <c r="AC30" s="15">
        <v>550.94000000000005</v>
      </c>
      <c r="AD30" s="15">
        <v>547.05999999999995</v>
      </c>
      <c r="AE30" s="15">
        <v>492.28</v>
      </c>
      <c r="AF30" s="15">
        <v>485.26</v>
      </c>
      <c r="AG30" s="15">
        <v>533.67999999999995</v>
      </c>
      <c r="AH30" s="17">
        <v>437.98</v>
      </c>
      <c r="AI30" s="15">
        <v>624.6</v>
      </c>
    </row>
    <row r="31" spans="1:35" s="3" customFormat="1" ht="22.15" customHeight="1">
      <c r="A31" s="63"/>
      <c r="B31" s="19" t="s">
        <v>62</v>
      </c>
      <c r="C31" s="7">
        <f>D31+'7月'!C31</f>
        <v>45</v>
      </c>
      <c r="D31" s="7">
        <f t="shared" si="7"/>
        <v>0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7"/>
      <c r="AI31" s="15"/>
    </row>
    <row r="32" spans="1:35" s="3" customFormat="1" ht="22.15" customHeight="1">
      <c r="A32" s="63"/>
      <c r="B32" s="19" t="s">
        <v>63</v>
      </c>
      <c r="C32" s="7">
        <f>D32+'7月'!C32</f>
        <v>0</v>
      </c>
      <c r="D32" s="7">
        <f t="shared" si="7"/>
        <v>0</v>
      </c>
      <c r="E32" s="17"/>
      <c r="F32" s="15"/>
      <c r="G32" s="15"/>
      <c r="H32" s="15"/>
      <c r="I32" s="17"/>
      <c r="J32" s="17"/>
      <c r="K32" s="15"/>
      <c r="L32" s="17"/>
      <c r="M32" s="15"/>
      <c r="N32" s="15"/>
      <c r="O32" s="15"/>
      <c r="P32" s="17"/>
      <c r="Q32" s="15"/>
      <c r="R32" s="17"/>
      <c r="S32" s="15"/>
      <c r="T32" s="17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7"/>
      <c r="AI32" s="15"/>
    </row>
    <row r="33" spans="1:35" s="3" customFormat="1" ht="22.15" customHeight="1">
      <c r="A33" s="63"/>
      <c r="B33" s="19" t="s">
        <v>64</v>
      </c>
      <c r="C33" s="7">
        <f>D33+'7月'!C33</f>
        <v>712.38</v>
      </c>
      <c r="D33" s="7">
        <f t="shared" si="7"/>
        <v>151.34</v>
      </c>
      <c r="E33" s="17"/>
      <c r="F33" s="15">
        <v>18.84</v>
      </c>
      <c r="G33" s="15"/>
      <c r="H33" s="15">
        <v>30.62</v>
      </c>
      <c r="I33" s="17"/>
      <c r="J33" s="17"/>
      <c r="K33" s="15"/>
      <c r="L33" s="17"/>
      <c r="M33" s="15"/>
      <c r="N33" s="15"/>
      <c r="O33" s="15"/>
      <c r="P33" s="17"/>
      <c r="Q33" s="15">
        <v>34.18</v>
      </c>
      <c r="R33" s="17"/>
      <c r="S33" s="15"/>
      <c r="T33" s="17"/>
      <c r="U33" s="15"/>
      <c r="V33" s="15"/>
      <c r="W33" s="15"/>
      <c r="X33" s="15"/>
      <c r="Y33" s="15"/>
      <c r="Z33" s="15"/>
      <c r="AA33" s="15"/>
      <c r="AB33" s="15"/>
      <c r="AC33" s="15"/>
      <c r="AD33" s="15">
        <v>29.56</v>
      </c>
      <c r="AE33" s="28">
        <v>38.14</v>
      </c>
      <c r="AF33" s="28"/>
      <c r="AG33" s="15"/>
      <c r="AH33" s="17"/>
      <c r="AI33" s="15"/>
    </row>
    <row r="34" spans="1:35" s="3" customFormat="1" ht="22.15" hidden="1" customHeight="1">
      <c r="A34" s="63"/>
      <c r="B34" s="19"/>
      <c r="C34" s="7">
        <f>D34+'7月'!C34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5"/>
      <c r="AF34" s="17"/>
      <c r="AG34" s="17"/>
      <c r="AH34" s="17"/>
      <c r="AI34" s="17"/>
    </row>
    <row r="35" spans="1:35" s="3" customFormat="1" ht="22.15" hidden="1" customHeight="1">
      <c r="A35" s="63"/>
      <c r="B35" s="19"/>
      <c r="C35" s="7">
        <f>D35+'7月'!C35</f>
        <v>0</v>
      </c>
      <c r="D35" s="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3" customFormat="1" ht="26.1" customHeight="1">
      <c r="A36" s="64"/>
      <c r="B36" s="12" t="s">
        <v>65</v>
      </c>
      <c r="C36" s="7">
        <f>D36+'7月'!C36</f>
        <v>359458.93999999994</v>
      </c>
      <c r="D36" s="7">
        <f t="shared" ref="D36:AI36" si="8">SUM(D20:D35)</f>
        <v>53206.6</v>
      </c>
      <c r="E36" s="7">
        <f t="shared" si="8"/>
        <v>1559.6599999999999</v>
      </c>
      <c r="F36" s="7">
        <f t="shared" si="8"/>
        <v>1444.8</v>
      </c>
      <c r="G36" s="7">
        <f t="shared" si="8"/>
        <v>1640.54</v>
      </c>
      <c r="H36" s="7">
        <f t="shared" si="8"/>
        <v>1885.92</v>
      </c>
      <c r="I36" s="7">
        <f t="shared" si="8"/>
        <v>1840.94</v>
      </c>
      <c r="J36" s="7">
        <f t="shared" si="8"/>
        <v>1514.76</v>
      </c>
      <c r="K36" s="7">
        <f t="shared" si="8"/>
        <v>1743.12</v>
      </c>
      <c r="L36" s="7">
        <f t="shared" si="8"/>
        <v>1747.04</v>
      </c>
      <c r="M36" s="7">
        <f t="shared" si="8"/>
        <v>1757.26</v>
      </c>
      <c r="N36" s="7">
        <f t="shared" si="8"/>
        <v>1280.7</v>
      </c>
      <c r="O36" s="7">
        <f t="shared" si="8"/>
        <v>1536.7599999999998</v>
      </c>
      <c r="P36" s="7">
        <f t="shared" si="8"/>
        <v>1869.1</v>
      </c>
      <c r="Q36" s="7">
        <f t="shared" si="8"/>
        <v>1752.14</v>
      </c>
      <c r="R36" s="7">
        <f t="shared" si="8"/>
        <v>1581.68</v>
      </c>
      <c r="S36" s="7">
        <f t="shared" si="8"/>
        <v>1968.1999999999998</v>
      </c>
      <c r="T36" s="7">
        <f t="shared" si="8"/>
        <v>1814.3200000000002</v>
      </c>
      <c r="U36" s="7">
        <f t="shared" si="8"/>
        <v>1964.02</v>
      </c>
      <c r="V36" s="7">
        <f t="shared" si="8"/>
        <v>1923.42</v>
      </c>
      <c r="W36" s="7">
        <f t="shared" si="8"/>
        <v>1675.2600000000002</v>
      </c>
      <c r="X36" s="7">
        <f t="shared" si="8"/>
        <v>1704.8000000000002</v>
      </c>
      <c r="Y36" s="7">
        <f t="shared" si="8"/>
        <v>1848.1</v>
      </c>
      <c r="Z36" s="7">
        <f t="shared" si="8"/>
        <v>1886.04</v>
      </c>
      <c r="AA36" s="7">
        <f t="shared" si="8"/>
        <v>2016.1799999999998</v>
      </c>
      <c r="AB36" s="7">
        <f t="shared" si="8"/>
        <v>1806.6599999999999</v>
      </c>
      <c r="AC36" s="7">
        <f t="shared" si="8"/>
        <v>1978.28</v>
      </c>
      <c r="AD36" s="7">
        <f t="shared" si="8"/>
        <v>1721.8999999999999</v>
      </c>
      <c r="AE36" s="7">
        <f t="shared" si="8"/>
        <v>1797.88</v>
      </c>
      <c r="AF36" s="7">
        <f t="shared" si="8"/>
        <v>1487.62</v>
      </c>
      <c r="AG36" s="7">
        <f t="shared" si="8"/>
        <v>1554.98</v>
      </c>
      <c r="AH36" s="7">
        <f t="shared" si="8"/>
        <v>1398.9</v>
      </c>
      <c r="AI36" s="7">
        <f t="shared" si="8"/>
        <v>1505.62</v>
      </c>
    </row>
    <row r="37" spans="1:35" s="3" customFormat="1" ht="26.25" customHeight="1">
      <c r="A37" s="61" t="s">
        <v>68</v>
      </c>
      <c r="B37" s="12" t="s">
        <v>66</v>
      </c>
      <c r="C37" s="7">
        <f>D37+'7月'!C37</f>
        <v>76933.16</v>
      </c>
      <c r="D37" s="7">
        <f>SUM(E37:AI37)</f>
        <v>11208.940000000002</v>
      </c>
      <c r="E37" s="7">
        <v>279.8</v>
      </c>
      <c r="F37" s="7">
        <v>351.32</v>
      </c>
      <c r="G37" s="7">
        <v>335.4</v>
      </c>
      <c r="H37" s="7">
        <v>300.72000000000003</v>
      </c>
      <c r="I37" s="7">
        <v>416.4</v>
      </c>
      <c r="J37" s="7">
        <v>420.08</v>
      </c>
      <c r="K37" s="7">
        <v>347.2</v>
      </c>
      <c r="L37" s="7">
        <v>278.18</v>
      </c>
      <c r="M37" s="7">
        <v>393.32</v>
      </c>
      <c r="N37" s="7">
        <v>360.8</v>
      </c>
      <c r="O37" s="7">
        <v>299.3</v>
      </c>
      <c r="P37" s="7">
        <v>356.58</v>
      </c>
      <c r="Q37" s="7">
        <v>443.44</v>
      </c>
      <c r="R37" s="7">
        <v>323.2</v>
      </c>
      <c r="S37" s="7">
        <v>372.88</v>
      </c>
      <c r="T37" s="7">
        <v>382.92</v>
      </c>
      <c r="U37" s="7">
        <v>440.38</v>
      </c>
      <c r="V37" s="7">
        <v>508.24</v>
      </c>
      <c r="W37" s="7">
        <v>353.1</v>
      </c>
      <c r="X37" s="7">
        <v>389.22</v>
      </c>
      <c r="Y37" s="7">
        <v>439.64</v>
      </c>
      <c r="Z37" s="7">
        <v>404.72</v>
      </c>
      <c r="AA37" s="7">
        <v>374.82</v>
      </c>
      <c r="AB37" s="7">
        <v>425.78</v>
      </c>
      <c r="AC37" s="7">
        <v>475.16</v>
      </c>
      <c r="AD37" s="7">
        <v>517.76</v>
      </c>
      <c r="AE37" s="7">
        <v>385.54</v>
      </c>
      <c r="AF37" s="7">
        <v>58.52</v>
      </c>
      <c r="AG37" s="7">
        <v>158.52000000000001</v>
      </c>
      <c r="AH37" s="7">
        <v>293.33999999999997</v>
      </c>
      <c r="AI37" s="7">
        <v>322.66000000000003</v>
      </c>
    </row>
    <row r="38" spans="1:35" s="3" customFormat="1" ht="26.1" customHeight="1">
      <c r="A38" s="53"/>
      <c r="B38" s="12" t="s">
        <v>67</v>
      </c>
      <c r="C38" s="7">
        <f>D38+'7月'!C38</f>
        <v>7515.56</v>
      </c>
      <c r="D38" s="7">
        <f t="shared" ref="D38:D42" si="9">SUM(E38:AI38)</f>
        <v>883.12</v>
      </c>
      <c r="E38" s="7">
        <v>0</v>
      </c>
      <c r="F38" s="7">
        <v>51.86</v>
      </c>
      <c r="G38" s="7">
        <v>4.08</v>
      </c>
      <c r="H38" s="7">
        <v>40.18</v>
      </c>
      <c r="I38" s="7">
        <v>23.74</v>
      </c>
      <c r="J38" s="7">
        <v>43.68</v>
      </c>
      <c r="K38" s="7">
        <v>11.7</v>
      </c>
      <c r="L38" s="7">
        <v>39.58</v>
      </c>
      <c r="M38" s="7">
        <v>42.22</v>
      </c>
      <c r="N38" s="7">
        <v>21.78</v>
      </c>
      <c r="O38" s="7">
        <v>35.200000000000003</v>
      </c>
      <c r="P38" s="7">
        <v>35.6</v>
      </c>
      <c r="Q38" s="7">
        <v>5.74</v>
      </c>
      <c r="R38" s="7">
        <v>40.9</v>
      </c>
      <c r="S38" s="7">
        <v>22.54</v>
      </c>
      <c r="T38" s="7">
        <v>44.88</v>
      </c>
      <c r="U38" s="7">
        <v>22.46</v>
      </c>
      <c r="V38" s="7">
        <v>32.119999999999997</v>
      </c>
      <c r="W38" s="7">
        <v>19.84</v>
      </c>
      <c r="X38" s="7">
        <v>0</v>
      </c>
      <c r="Y38" s="7">
        <v>66.040000000000006</v>
      </c>
      <c r="Z38" s="7">
        <v>17.600000000000001</v>
      </c>
      <c r="AA38" s="7">
        <v>44.46</v>
      </c>
      <c r="AB38" s="7">
        <v>19.98</v>
      </c>
      <c r="AC38" s="7">
        <v>40.36</v>
      </c>
      <c r="AD38" s="7">
        <v>0</v>
      </c>
      <c r="AE38" s="7">
        <v>38.700000000000003</v>
      </c>
      <c r="AF38" s="7">
        <v>32.479999999999997</v>
      </c>
      <c r="AG38" s="7">
        <v>64.16</v>
      </c>
      <c r="AH38" s="7">
        <v>21.24</v>
      </c>
      <c r="AI38" s="7">
        <v>0</v>
      </c>
    </row>
    <row r="39" spans="1:35" s="3" customFormat="1" ht="24.95" customHeight="1">
      <c r="A39" s="54"/>
      <c r="B39" s="6" t="s">
        <v>69</v>
      </c>
      <c r="C39" s="7">
        <f>D39+'7月'!C39</f>
        <v>36139</v>
      </c>
      <c r="D39" s="7">
        <f t="shared" si="9"/>
        <v>6123</v>
      </c>
      <c r="E39" s="7">
        <v>243</v>
      </c>
      <c r="F39" s="7">
        <v>146</v>
      </c>
      <c r="G39" s="7">
        <v>230</v>
      </c>
      <c r="H39" s="7">
        <v>42</v>
      </c>
      <c r="I39" s="7">
        <v>399</v>
      </c>
      <c r="J39" s="7">
        <v>58</v>
      </c>
      <c r="K39" s="7">
        <v>355</v>
      </c>
      <c r="L39" s="7">
        <v>396</v>
      </c>
      <c r="M39" s="7">
        <v>100</v>
      </c>
      <c r="N39" s="7">
        <v>109</v>
      </c>
      <c r="O39" s="7">
        <v>98</v>
      </c>
      <c r="P39" s="7">
        <v>436</v>
      </c>
      <c r="Q39" s="7">
        <v>191</v>
      </c>
      <c r="R39" s="7">
        <v>89</v>
      </c>
      <c r="S39" s="7">
        <v>0</v>
      </c>
      <c r="T39" s="7">
        <v>639</v>
      </c>
      <c r="U39" s="7">
        <v>297</v>
      </c>
      <c r="V39" s="7">
        <v>235</v>
      </c>
      <c r="W39" s="7">
        <v>199</v>
      </c>
      <c r="X39" s="7">
        <v>135</v>
      </c>
      <c r="Y39" s="7">
        <v>296</v>
      </c>
      <c r="Z39" s="7">
        <v>115</v>
      </c>
      <c r="AA39" s="7">
        <v>0</v>
      </c>
      <c r="AB39" s="7">
        <v>380</v>
      </c>
      <c r="AC39" s="7">
        <v>204</v>
      </c>
      <c r="AD39" s="7">
        <v>155</v>
      </c>
      <c r="AE39" s="7">
        <v>154</v>
      </c>
      <c r="AF39" s="7">
        <v>116</v>
      </c>
      <c r="AG39" s="7">
        <v>154</v>
      </c>
      <c r="AH39" s="7">
        <v>152</v>
      </c>
      <c r="AI39" s="7">
        <v>0</v>
      </c>
    </row>
    <row r="40" spans="1:35" s="3" customFormat="1" ht="24.95" customHeight="1">
      <c r="A40" s="60" t="s">
        <v>70</v>
      </c>
      <c r="B40" s="6" t="s">
        <v>71</v>
      </c>
      <c r="C40" s="7">
        <f>D40+'6月'!C40</f>
        <v>496.52900000000005</v>
      </c>
      <c r="D40" s="7">
        <f t="shared" si="9"/>
        <v>69.993000000000009</v>
      </c>
      <c r="E40" s="30">
        <v>2.6</v>
      </c>
      <c r="F40" s="30">
        <v>2.64</v>
      </c>
      <c r="G40" s="30">
        <v>2.5499999999999998</v>
      </c>
      <c r="H40" s="30">
        <v>2.25</v>
      </c>
      <c r="I40" s="30">
        <v>2.77</v>
      </c>
      <c r="J40" s="30">
        <v>2.33</v>
      </c>
      <c r="K40" s="30">
        <v>2.4380000000000002</v>
      </c>
      <c r="L40" s="30">
        <v>2.42</v>
      </c>
      <c r="M40" s="30">
        <v>2.36</v>
      </c>
      <c r="N40" s="30">
        <v>2.48</v>
      </c>
      <c r="O40" s="31">
        <v>2.5499999999999998</v>
      </c>
      <c r="P40" s="31">
        <v>2.25</v>
      </c>
      <c r="Q40" s="31">
        <v>2.5299999999999998</v>
      </c>
      <c r="R40" s="31">
        <v>2.4380000000000002</v>
      </c>
      <c r="S40" s="31">
        <v>2.2349999999999999</v>
      </c>
      <c r="T40" s="31">
        <v>2.41</v>
      </c>
      <c r="U40" s="31">
        <v>2.3199999999999998</v>
      </c>
      <c r="V40" s="31">
        <v>2.39</v>
      </c>
      <c r="W40" s="31">
        <v>2.38</v>
      </c>
      <c r="X40" s="31">
        <v>2.33</v>
      </c>
      <c r="Y40" s="30">
        <v>2.36</v>
      </c>
      <c r="Z40" s="30">
        <v>2.37</v>
      </c>
      <c r="AA40" s="30">
        <v>2.46</v>
      </c>
      <c r="AB40" s="30">
        <v>2.57</v>
      </c>
      <c r="AC40" s="30">
        <v>2.4500000000000002</v>
      </c>
      <c r="AD40" s="30">
        <v>2.46</v>
      </c>
      <c r="AE40" s="30">
        <v>2.15</v>
      </c>
      <c r="AF40" s="30">
        <v>1.1299999999999999</v>
      </c>
      <c r="AG40" s="30">
        <v>1.18</v>
      </c>
      <c r="AH40" s="30">
        <v>1.19</v>
      </c>
      <c r="AI40" s="30">
        <v>1.002</v>
      </c>
    </row>
    <row r="41" spans="1:35" s="3" customFormat="1" ht="24.95" customHeight="1">
      <c r="A41" s="60"/>
      <c r="B41" s="6" t="s">
        <v>72</v>
      </c>
      <c r="C41" s="7">
        <f>D41+'6月'!C41</f>
        <v>2232.360000000001</v>
      </c>
      <c r="D41" s="7">
        <f t="shared" si="9"/>
        <v>337.64000000000004</v>
      </c>
      <c r="E41" s="31">
        <v>9.4499999999999993</v>
      </c>
      <c r="F41" s="31">
        <v>10.68</v>
      </c>
      <c r="G41" s="31">
        <v>10.62</v>
      </c>
      <c r="H41" s="31">
        <v>10.29</v>
      </c>
      <c r="I41" s="31">
        <v>12.01</v>
      </c>
      <c r="J41" s="31">
        <v>11.74</v>
      </c>
      <c r="K41" s="31">
        <v>12.31</v>
      </c>
      <c r="L41" s="31">
        <v>11.4</v>
      </c>
      <c r="M41" s="31">
        <v>9.24</v>
      </c>
      <c r="N41" s="31">
        <v>11.29</v>
      </c>
      <c r="O41" s="30">
        <v>11.25</v>
      </c>
      <c r="P41" s="30">
        <v>9.74</v>
      </c>
      <c r="Q41" s="30">
        <v>10.8</v>
      </c>
      <c r="R41" s="30">
        <v>11.12</v>
      </c>
      <c r="S41" s="30">
        <v>12.63</v>
      </c>
      <c r="T41" s="30">
        <v>11.28</v>
      </c>
      <c r="U41" s="30">
        <v>11.71</v>
      </c>
      <c r="V41" s="30">
        <v>12.31</v>
      </c>
      <c r="W41" s="30">
        <v>12.15</v>
      </c>
      <c r="X41" s="30">
        <v>12.61</v>
      </c>
      <c r="Y41" s="30">
        <v>12.87</v>
      </c>
      <c r="Z41" s="30">
        <v>12.98</v>
      </c>
      <c r="AA41" s="30">
        <v>13.06</v>
      </c>
      <c r="AB41" s="30">
        <v>12.64</v>
      </c>
      <c r="AC41" s="30">
        <v>13.04</v>
      </c>
      <c r="AD41" s="30">
        <v>11.83</v>
      </c>
      <c r="AE41" s="30">
        <v>11.55</v>
      </c>
      <c r="AF41" s="30">
        <v>5.26</v>
      </c>
      <c r="AG41" s="30">
        <v>6</v>
      </c>
      <c r="AH41" s="30">
        <v>6.74</v>
      </c>
      <c r="AI41" s="30">
        <v>7.04</v>
      </c>
    </row>
    <row r="42" spans="1:35" s="3" customFormat="1" ht="24.95" customHeight="1">
      <c r="A42" s="60"/>
      <c r="B42" s="6" t="s">
        <v>73</v>
      </c>
      <c r="C42" s="7">
        <f>D42+'6月'!C42</f>
        <v>150.73000000000002</v>
      </c>
      <c r="D42" s="7">
        <f t="shared" si="9"/>
        <v>22.350000000000005</v>
      </c>
      <c r="E42" s="31">
        <v>0.72</v>
      </c>
      <c r="F42" s="31">
        <v>0.75</v>
      </c>
      <c r="G42" s="31">
        <v>0.75</v>
      </c>
      <c r="H42" s="31">
        <v>0.77</v>
      </c>
      <c r="I42" s="31">
        <v>0.77</v>
      </c>
      <c r="J42" s="31">
        <v>0.78</v>
      </c>
      <c r="K42" s="31">
        <v>0.75</v>
      </c>
      <c r="L42" s="31">
        <v>0.75</v>
      </c>
      <c r="M42" s="31">
        <v>0.78</v>
      </c>
      <c r="N42" s="31">
        <v>0.73</v>
      </c>
      <c r="O42" s="30">
        <v>0.7</v>
      </c>
      <c r="P42" s="30">
        <v>0.8</v>
      </c>
      <c r="Q42" s="30">
        <v>0.78</v>
      </c>
      <c r="R42" s="30">
        <v>0.85</v>
      </c>
      <c r="S42" s="30">
        <v>0.78</v>
      </c>
      <c r="T42" s="30">
        <v>0.86</v>
      </c>
      <c r="U42" s="30">
        <v>0.81</v>
      </c>
      <c r="V42" s="30">
        <v>0.83</v>
      </c>
      <c r="W42" s="30">
        <v>0.79</v>
      </c>
      <c r="X42" s="30">
        <v>0.72</v>
      </c>
      <c r="Y42" s="30">
        <v>0.72</v>
      </c>
      <c r="Z42" s="30">
        <v>0.8</v>
      </c>
      <c r="AA42" s="30">
        <v>0.76000000000000201</v>
      </c>
      <c r="AB42" s="30">
        <v>0.84</v>
      </c>
      <c r="AC42" s="30">
        <v>0.81</v>
      </c>
      <c r="AD42" s="30">
        <v>0.8</v>
      </c>
      <c r="AE42" s="30">
        <v>0.69</v>
      </c>
      <c r="AF42" s="30">
        <v>0.35</v>
      </c>
      <c r="AG42" s="30">
        <v>0.36</v>
      </c>
      <c r="AH42" s="30">
        <v>0.36</v>
      </c>
      <c r="AI42" s="30">
        <v>0.39</v>
      </c>
    </row>
    <row r="43" spans="1:35" s="1" customFormat="1" ht="18" customHeight="1">
      <c r="B43" s="20" t="s">
        <v>74</v>
      </c>
      <c r="C43" s="21">
        <f>C37/C5</f>
        <v>0.24478157490571703</v>
      </c>
      <c r="D43" s="21">
        <f>D37/D5</f>
        <v>0.27372125166665873</v>
      </c>
      <c r="G43" s="22"/>
    </row>
    <row r="44" spans="1:35" s="1" customFormat="1" ht="18" customHeight="1">
      <c r="B44" s="23" t="s">
        <v>75</v>
      </c>
      <c r="C44" s="24">
        <f>C38/C5</f>
        <v>2.3912583508833001E-2</v>
      </c>
      <c r="D44" s="24">
        <f>D38/D5</f>
        <v>2.1565706638795423E-2</v>
      </c>
      <c r="G44" s="22"/>
    </row>
    <row r="45" spans="1:35" s="1" customFormat="1" ht="18" customHeight="1">
      <c r="B45" s="23" t="s">
        <v>76</v>
      </c>
      <c r="C45" s="24">
        <f>C39/C5</f>
        <v>0.11498502512463685</v>
      </c>
      <c r="D45" s="24">
        <f>D39/D5</f>
        <v>0.14952307925236025</v>
      </c>
      <c r="G45" s="22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</sheetData>
  <mergeCells count="10">
    <mergeCell ref="A16:A18"/>
    <mergeCell ref="A40:A42"/>
    <mergeCell ref="A1:B1"/>
    <mergeCell ref="C1:AI1"/>
    <mergeCell ref="A3:A5"/>
    <mergeCell ref="A6:A8"/>
    <mergeCell ref="A9:A12"/>
    <mergeCell ref="A13:A15"/>
    <mergeCell ref="A20:A36"/>
    <mergeCell ref="A37:A39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AI68"/>
  <sheetViews>
    <sheetView topLeftCell="A33" zoomScale="180" zoomScaleNormal="180" workbookViewId="0">
      <pane xSplit="4" topLeftCell="T1" activePane="topRight" state="frozen"/>
      <selection pane="topRight" activeCell="A37" sqref="A37:A39"/>
    </sheetView>
  </sheetViews>
  <sheetFormatPr defaultColWidth="9" defaultRowHeight="13.5"/>
  <cols>
    <col min="1" max="1" width="8.75" style="4" customWidth="1"/>
    <col min="2" max="2" width="14.625" style="4" customWidth="1"/>
    <col min="3" max="3" width="11.875" style="4" customWidth="1"/>
    <col min="4" max="4" width="10.5" style="4" customWidth="1"/>
    <col min="5" max="5" width="9" style="4"/>
    <col min="6" max="31" width="9" style="4" customWidth="1"/>
    <col min="32" max="32" width="9" style="4"/>
    <col min="33" max="33" width="9" style="4" customWidth="1"/>
    <col min="34" max="34" width="11.25" style="4" customWidth="1"/>
    <col min="35" max="35" width="9" style="4" hidden="1" customWidth="1"/>
    <col min="36" max="16384" width="9" style="4"/>
  </cols>
  <sheetData>
    <row r="1" spans="1:35" s="1" customFormat="1" ht="42.75" customHeight="1">
      <c r="A1" s="57">
        <v>44440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1" t="s">
        <v>35</v>
      </c>
      <c r="B3" s="7" t="s">
        <v>36</v>
      </c>
      <c r="C3" s="7">
        <f>D3+'8月'!C3</f>
        <v>167261.70000000001</v>
      </c>
      <c r="D3" s="7">
        <f t="shared" ref="D3:D9" si="0">SUM(E3:AI3)</f>
        <v>16419.699999999997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703.1</v>
      </c>
      <c r="M3" s="7">
        <v>745.6</v>
      </c>
      <c r="N3" s="7">
        <v>687.2</v>
      </c>
      <c r="O3" s="7">
        <v>753.5</v>
      </c>
      <c r="P3" s="7">
        <v>731.3</v>
      </c>
      <c r="Q3" s="7">
        <v>719.5</v>
      </c>
      <c r="R3" s="7">
        <v>681.5</v>
      </c>
      <c r="S3" s="7">
        <v>748.7</v>
      </c>
      <c r="T3" s="7">
        <v>692.3</v>
      </c>
      <c r="U3" s="7">
        <v>659.4</v>
      </c>
      <c r="V3" s="7">
        <v>713.4</v>
      </c>
      <c r="W3" s="7">
        <v>721.2</v>
      </c>
      <c r="X3" s="7">
        <v>751.9</v>
      </c>
      <c r="Y3" s="7">
        <v>728.2</v>
      </c>
      <c r="Z3" s="7">
        <v>650.29999999999995</v>
      </c>
      <c r="AA3" s="7">
        <v>711.2</v>
      </c>
      <c r="AB3" s="7">
        <v>693.9</v>
      </c>
      <c r="AC3" s="7">
        <v>715.8</v>
      </c>
      <c r="AD3" s="7">
        <v>723.9</v>
      </c>
      <c r="AE3" s="7">
        <v>682.8</v>
      </c>
      <c r="AF3" s="7">
        <v>759.6</v>
      </c>
      <c r="AG3" s="7">
        <v>707</v>
      </c>
      <c r="AH3" s="7">
        <v>738.4</v>
      </c>
      <c r="AI3" s="29"/>
    </row>
    <row r="4" spans="1:35" s="3" customFormat="1" ht="26.25" customHeight="1">
      <c r="A4" s="51"/>
      <c r="B4" s="7" t="s">
        <v>37</v>
      </c>
      <c r="C4" s="7">
        <f>D4+'8月'!C4</f>
        <v>183539.99999999997</v>
      </c>
      <c r="D4" s="7">
        <f t="shared" si="0"/>
        <v>20088.900000000001</v>
      </c>
      <c r="E4" s="7">
        <v>669.6</v>
      </c>
      <c r="F4" s="7">
        <v>696.4</v>
      </c>
      <c r="G4" s="7">
        <v>698.3</v>
      </c>
      <c r="H4" s="7">
        <v>675.5</v>
      </c>
      <c r="I4" s="7">
        <v>619.4</v>
      </c>
      <c r="J4" s="7">
        <v>655.9</v>
      </c>
      <c r="K4" s="7">
        <v>660.2</v>
      </c>
      <c r="L4" s="7">
        <v>686.6</v>
      </c>
      <c r="M4" s="7">
        <v>699.9</v>
      </c>
      <c r="N4" s="7">
        <v>685.1</v>
      </c>
      <c r="O4" s="7">
        <v>691.8</v>
      </c>
      <c r="P4" s="7">
        <v>634.79999999999995</v>
      </c>
      <c r="Q4" s="7">
        <v>680.9</v>
      </c>
      <c r="R4" s="7">
        <v>703.5</v>
      </c>
      <c r="S4" s="7">
        <v>698.4</v>
      </c>
      <c r="T4" s="7">
        <v>623.29999999999995</v>
      </c>
      <c r="U4" s="7">
        <v>636.6</v>
      </c>
      <c r="V4" s="7">
        <v>676</v>
      </c>
      <c r="W4" s="7">
        <v>655.8</v>
      </c>
      <c r="X4" s="7">
        <v>664.7</v>
      </c>
      <c r="Y4" s="7">
        <v>701.6</v>
      </c>
      <c r="Z4" s="7">
        <v>612.5</v>
      </c>
      <c r="AA4" s="7">
        <v>658.1</v>
      </c>
      <c r="AB4" s="7">
        <v>636.9</v>
      </c>
      <c r="AC4" s="7">
        <v>623.70000000000005</v>
      </c>
      <c r="AD4" s="7">
        <v>692.2</v>
      </c>
      <c r="AE4" s="7">
        <v>634</v>
      </c>
      <c r="AF4" s="7">
        <v>704.8</v>
      </c>
      <c r="AG4" s="29">
        <v>696.7</v>
      </c>
      <c r="AH4" s="7">
        <v>715.7</v>
      </c>
      <c r="AI4" s="7"/>
    </row>
    <row r="5" spans="1:35" s="3" customFormat="1" ht="24.95" customHeight="1">
      <c r="A5" s="51"/>
      <c r="B5" s="7" t="s">
        <v>38</v>
      </c>
      <c r="C5" s="7">
        <f>D5+'8月'!C5</f>
        <v>350801.69999999995</v>
      </c>
      <c r="D5" s="7">
        <f t="shared" si="0"/>
        <v>36508.599999999991</v>
      </c>
      <c r="E5" s="7">
        <f>E3+E4</f>
        <v>669.6</v>
      </c>
      <c r="F5" s="7">
        <f t="shared" ref="F5:AI5" si="1">F3+F4</f>
        <v>696.4</v>
      </c>
      <c r="G5" s="7">
        <f t="shared" si="1"/>
        <v>698.3</v>
      </c>
      <c r="H5" s="7">
        <f t="shared" si="1"/>
        <v>675.5</v>
      </c>
      <c r="I5" s="7">
        <f t="shared" si="1"/>
        <v>619.4</v>
      </c>
      <c r="J5" s="7">
        <f t="shared" si="1"/>
        <v>655.9</v>
      </c>
      <c r="K5" s="7">
        <f t="shared" si="1"/>
        <v>660.2</v>
      </c>
      <c r="L5" s="7">
        <f t="shared" si="1"/>
        <v>1389.7</v>
      </c>
      <c r="M5" s="7">
        <f t="shared" si="1"/>
        <v>1445.5</v>
      </c>
      <c r="N5" s="7">
        <f t="shared" si="1"/>
        <v>1372.3000000000002</v>
      </c>
      <c r="O5" s="7">
        <f t="shared" si="1"/>
        <v>1445.3</v>
      </c>
      <c r="P5" s="7">
        <f t="shared" si="1"/>
        <v>1366.1</v>
      </c>
      <c r="Q5" s="7">
        <f t="shared" si="1"/>
        <v>1400.4</v>
      </c>
      <c r="R5" s="7">
        <f t="shared" si="1"/>
        <v>1385</v>
      </c>
      <c r="S5" s="7">
        <f t="shared" si="1"/>
        <v>1447.1</v>
      </c>
      <c r="T5" s="7">
        <f t="shared" si="1"/>
        <v>1315.6</v>
      </c>
      <c r="U5" s="7">
        <f t="shared" si="1"/>
        <v>1296</v>
      </c>
      <c r="V5" s="7">
        <f t="shared" si="1"/>
        <v>1389.4</v>
      </c>
      <c r="W5" s="7">
        <f t="shared" si="1"/>
        <v>1377</v>
      </c>
      <c r="X5" s="7">
        <f t="shared" si="1"/>
        <v>1416.6</v>
      </c>
      <c r="Y5" s="7">
        <f t="shared" si="1"/>
        <v>1429.8000000000002</v>
      </c>
      <c r="Z5" s="7">
        <f t="shared" si="1"/>
        <v>1262.8</v>
      </c>
      <c r="AA5" s="7">
        <f t="shared" si="1"/>
        <v>1369.3000000000002</v>
      </c>
      <c r="AB5" s="7">
        <f t="shared" si="1"/>
        <v>1330.8</v>
      </c>
      <c r="AC5" s="7">
        <f t="shared" si="1"/>
        <v>1339.5</v>
      </c>
      <c r="AD5" s="7">
        <f t="shared" si="1"/>
        <v>1416.1</v>
      </c>
      <c r="AE5" s="7">
        <f t="shared" si="1"/>
        <v>1316.8</v>
      </c>
      <c r="AF5" s="7">
        <f t="shared" si="1"/>
        <v>1464.4</v>
      </c>
      <c r="AG5" s="7">
        <f t="shared" si="1"/>
        <v>1403.7</v>
      </c>
      <c r="AH5" s="7">
        <f t="shared" si="1"/>
        <v>1454.1</v>
      </c>
      <c r="AI5" s="7">
        <f t="shared" si="1"/>
        <v>0</v>
      </c>
    </row>
    <row r="6" spans="1:35" s="3" customFormat="1" ht="24.95" customHeight="1">
      <c r="A6" s="51" t="s">
        <v>39</v>
      </c>
      <c r="B6" s="7" t="s">
        <v>40</v>
      </c>
      <c r="C6" s="7">
        <f>D6+'8月'!C6</f>
        <v>86210000</v>
      </c>
      <c r="D6" s="7">
        <f t="shared" si="0"/>
        <v>10228000</v>
      </c>
      <c r="E6" s="7">
        <v>340000</v>
      </c>
      <c r="F6" s="7">
        <v>332000</v>
      </c>
      <c r="G6" s="7">
        <v>344000</v>
      </c>
      <c r="H6" s="7">
        <v>344000</v>
      </c>
      <c r="I6" s="7">
        <v>346000</v>
      </c>
      <c r="J6" s="7">
        <v>332000</v>
      </c>
      <c r="K6" s="7">
        <v>312000</v>
      </c>
      <c r="L6" s="7">
        <v>320000</v>
      </c>
      <c r="M6" s="7">
        <v>334000</v>
      </c>
      <c r="N6" s="7">
        <v>330000</v>
      </c>
      <c r="O6" s="7">
        <v>348000</v>
      </c>
      <c r="P6" s="26">
        <v>340000</v>
      </c>
      <c r="Q6" s="7">
        <v>346000</v>
      </c>
      <c r="R6" s="7">
        <v>334000</v>
      </c>
      <c r="S6" s="7">
        <v>352000</v>
      </c>
      <c r="T6" s="7">
        <v>338000</v>
      </c>
      <c r="U6" s="26">
        <v>354000</v>
      </c>
      <c r="V6" s="26">
        <v>350000</v>
      </c>
      <c r="W6" s="7">
        <v>348000</v>
      </c>
      <c r="X6" s="7">
        <v>348000</v>
      </c>
      <c r="Y6" s="7">
        <v>360000</v>
      </c>
      <c r="Z6" s="7">
        <v>330000</v>
      </c>
      <c r="AA6" s="7">
        <v>340000</v>
      </c>
      <c r="AB6" s="7">
        <v>344000</v>
      </c>
      <c r="AC6" s="7">
        <v>344000</v>
      </c>
      <c r="AD6" s="7">
        <v>346000</v>
      </c>
      <c r="AE6" s="7">
        <v>338000</v>
      </c>
      <c r="AF6" s="7">
        <v>346000</v>
      </c>
      <c r="AG6" s="7">
        <v>346000</v>
      </c>
      <c r="AH6" s="7">
        <v>342000</v>
      </c>
      <c r="AI6" s="7"/>
    </row>
    <row r="7" spans="1:35" s="3" customFormat="1" ht="24.95" customHeight="1">
      <c r="A7" s="51"/>
      <c r="B7" s="7" t="s">
        <v>41</v>
      </c>
      <c r="C7" s="7">
        <f>D7+'8月'!C7</f>
        <v>90522000</v>
      </c>
      <c r="D7" s="7">
        <f t="shared" si="0"/>
        <v>8154000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16000</v>
      </c>
      <c r="L7" s="7">
        <v>300000</v>
      </c>
      <c r="M7" s="7">
        <v>362000</v>
      </c>
      <c r="N7" s="7">
        <v>352000</v>
      </c>
      <c r="O7" s="7">
        <v>360000</v>
      </c>
      <c r="P7" s="26">
        <v>358000</v>
      </c>
      <c r="Q7" s="7">
        <v>364000</v>
      </c>
      <c r="R7" s="7">
        <v>348000</v>
      </c>
      <c r="S7" s="7">
        <v>362000</v>
      </c>
      <c r="T7" s="7">
        <v>346000</v>
      </c>
      <c r="U7" s="7">
        <v>368000</v>
      </c>
      <c r="V7" s="7">
        <v>362000</v>
      </c>
      <c r="W7" s="7">
        <v>354000</v>
      </c>
      <c r="X7" s="7">
        <v>354000</v>
      </c>
      <c r="Y7" s="7">
        <v>364000</v>
      </c>
      <c r="Z7" s="7">
        <v>344000</v>
      </c>
      <c r="AA7" s="7">
        <v>358000</v>
      </c>
      <c r="AB7" s="7">
        <v>356000</v>
      </c>
      <c r="AC7" s="7">
        <v>356000</v>
      </c>
      <c r="AD7" s="7">
        <v>356000</v>
      </c>
      <c r="AE7" s="7">
        <v>348000</v>
      </c>
      <c r="AF7" s="7">
        <v>358000</v>
      </c>
      <c r="AG7" s="7">
        <v>360000</v>
      </c>
      <c r="AH7" s="7">
        <v>348000</v>
      </c>
      <c r="AI7" s="26"/>
    </row>
    <row r="8" spans="1:35" s="3" customFormat="1" ht="24.95" customHeight="1">
      <c r="A8" s="51"/>
      <c r="B8" s="7" t="s">
        <v>38</v>
      </c>
      <c r="C8" s="7">
        <f>D8+'8月'!C8</f>
        <v>176732000</v>
      </c>
      <c r="D8" s="7">
        <f t="shared" si="0"/>
        <v>18382000</v>
      </c>
      <c r="E8" s="7">
        <f>E6+E7</f>
        <v>340000</v>
      </c>
      <c r="F8" s="7">
        <f t="shared" ref="F8:AI8" si="2">F6+F7</f>
        <v>332000</v>
      </c>
      <c r="G8" s="7">
        <f t="shared" si="2"/>
        <v>344000</v>
      </c>
      <c r="H8" s="7">
        <f t="shared" si="2"/>
        <v>344000</v>
      </c>
      <c r="I8" s="7">
        <f t="shared" si="2"/>
        <v>346000</v>
      </c>
      <c r="J8" s="7">
        <f t="shared" si="2"/>
        <v>332000</v>
      </c>
      <c r="K8" s="7">
        <f t="shared" si="2"/>
        <v>328000</v>
      </c>
      <c r="L8" s="7">
        <f t="shared" si="2"/>
        <v>620000</v>
      </c>
      <c r="M8" s="7">
        <f t="shared" si="2"/>
        <v>696000</v>
      </c>
      <c r="N8" s="7">
        <f t="shared" si="2"/>
        <v>682000</v>
      </c>
      <c r="O8" s="7">
        <f t="shared" si="2"/>
        <v>708000</v>
      </c>
      <c r="P8" s="7">
        <f t="shared" si="2"/>
        <v>698000</v>
      </c>
      <c r="Q8" s="7">
        <f t="shared" si="2"/>
        <v>710000</v>
      </c>
      <c r="R8" s="7">
        <f t="shared" si="2"/>
        <v>682000</v>
      </c>
      <c r="S8" s="7">
        <f t="shared" si="2"/>
        <v>714000</v>
      </c>
      <c r="T8" s="7">
        <f t="shared" si="2"/>
        <v>684000</v>
      </c>
      <c r="U8" s="7">
        <f t="shared" si="2"/>
        <v>722000</v>
      </c>
      <c r="V8" s="7">
        <f t="shared" si="2"/>
        <v>712000</v>
      </c>
      <c r="W8" s="7">
        <f t="shared" si="2"/>
        <v>702000</v>
      </c>
      <c r="X8" s="7">
        <f t="shared" si="2"/>
        <v>702000</v>
      </c>
      <c r="Y8" s="7">
        <f t="shared" si="2"/>
        <v>724000</v>
      </c>
      <c r="Z8" s="7">
        <f t="shared" si="2"/>
        <v>674000</v>
      </c>
      <c r="AA8" s="7">
        <f t="shared" si="2"/>
        <v>698000</v>
      </c>
      <c r="AB8" s="7">
        <f t="shared" si="2"/>
        <v>700000</v>
      </c>
      <c r="AC8" s="7">
        <f t="shared" si="2"/>
        <v>700000</v>
      </c>
      <c r="AD8" s="7">
        <f t="shared" si="2"/>
        <v>702000</v>
      </c>
      <c r="AE8" s="7">
        <f t="shared" si="2"/>
        <v>686000</v>
      </c>
      <c r="AF8" s="7">
        <f t="shared" si="2"/>
        <v>704000</v>
      </c>
      <c r="AG8" s="7">
        <f t="shared" si="2"/>
        <v>706000</v>
      </c>
      <c r="AH8" s="7">
        <f t="shared" si="2"/>
        <v>690000</v>
      </c>
      <c r="AI8" s="7">
        <f t="shared" si="2"/>
        <v>0</v>
      </c>
    </row>
    <row r="9" spans="1:35" s="3" customFormat="1" ht="24.95" customHeight="1">
      <c r="A9" s="51" t="s">
        <v>42</v>
      </c>
      <c r="B9" s="7" t="s">
        <v>38</v>
      </c>
      <c r="C9" s="7">
        <f>D9+'8月'!C9</f>
        <v>152144000</v>
      </c>
      <c r="D9" s="7">
        <f t="shared" si="0"/>
        <v>15708000</v>
      </c>
      <c r="E9" s="7">
        <v>264000</v>
      </c>
      <c r="F9" s="7">
        <v>258000</v>
      </c>
      <c r="G9" s="7">
        <v>268000</v>
      </c>
      <c r="H9" s="7">
        <v>276000</v>
      </c>
      <c r="I9" s="7">
        <v>274000</v>
      </c>
      <c r="J9" s="7">
        <v>266000</v>
      </c>
      <c r="K9" s="7">
        <v>258000</v>
      </c>
      <c r="L9" s="7">
        <v>526000</v>
      </c>
      <c r="M9" s="7">
        <v>600000</v>
      </c>
      <c r="N9" s="7">
        <v>588000</v>
      </c>
      <c r="O9" s="7">
        <v>612000</v>
      </c>
      <c r="P9" s="7">
        <v>604000</v>
      </c>
      <c r="Q9" s="7">
        <v>614000</v>
      </c>
      <c r="R9" s="7">
        <v>588000</v>
      </c>
      <c r="S9" s="7">
        <v>620000</v>
      </c>
      <c r="T9" s="7">
        <v>594000</v>
      </c>
      <c r="U9" s="7">
        <v>624000</v>
      </c>
      <c r="V9" s="7">
        <v>618000</v>
      </c>
      <c r="W9" s="7">
        <v>608000</v>
      </c>
      <c r="X9" s="7">
        <v>610000</v>
      </c>
      <c r="Y9" s="7">
        <v>630000</v>
      </c>
      <c r="Z9" s="7">
        <v>580000</v>
      </c>
      <c r="AA9" s="7">
        <v>606000</v>
      </c>
      <c r="AB9" s="7">
        <v>604000</v>
      </c>
      <c r="AC9" s="7">
        <v>602000</v>
      </c>
      <c r="AD9" s="7">
        <v>608000</v>
      </c>
      <c r="AE9" s="7">
        <v>594000</v>
      </c>
      <c r="AF9" s="7">
        <v>608000</v>
      </c>
      <c r="AG9" s="7">
        <v>608000</v>
      </c>
      <c r="AH9" s="7">
        <v>598000</v>
      </c>
      <c r="AI9" s="7"/>
    </row>
    <row r="10" spans="1:35" s="3" customFormat="1" ht="24.95" customHeight="1">
      <c r="A10" s="51"/>
      <c r="B10" s="6" t="s">
        <v>43</v>
      </c>
      <c r="C10" s="8">
        <f>C8/C5</f>
        <v>503.79459392585619</v>
      </c>
      <c r="D10" s="8">
        <f>D8/D5</f>
        <v>503.49780599639547</v>
      </c>
      <c r="E10" s="8">
        <f t="shared" ref="E10:AI10" si="3">E8/E5</f>
        <v>507.76583034647547</v>
      </c>
      <c r="F10" s="8">
        <f t="shared" si="3"/>
        <v>476.73750717978174</v>
      </c>
      <c r="G10" s="8">
        <f t="shared" si="3"/>
        <v>492.62494629815268</v>
      </c>
      <c r="H10" s="8">
        <f t="shared" si="3"/>
        <v>509.25240562546264</v>
      </c>
      <c r="I10" s="8">
        <f t="shared" si="3"/>
        <v>558.60510171133353</v>
      </c>
      <c r="J10" s="8">
        <f t="shared" si="3"/>
        <v>506.17472175636533</v>
      </c>
      <c r="K10" s="8">
        <f t="shared" si="3"/>
        <v>496.81914571342014</v>
      </c>
      <c r="L10" s="8">
        <f t="shared" si="3"/>
        <v>446.13945455853781</v>
      </c>
      <c r="M10" s="8">
        <f t="shared" si="3"/>
        <v>481.49429263230718</v>
      </c>
      <c r="N10" s="8">
        <f t="shared" si="3"/>
        <v>496.9758799096407</v>
      </c>
      <c r="O10" s="8">
        <f t="shared" si="3"/>
        <v>489.86369611845294</v>
      </c>
      <c r="P10" s="8">
        <f t="shared" si="3"/>
        <v>510.94356196471711</v>
      </c>
      <c r="Q10" s="8">
        <f t="shared" si="3"/>
        <v>506.99800057126532</v>
      </c>
      <c r="R10" s="8">
        <f t="shared" si="3"/>
        <v>492.4187725631769</v>
      </c>
      <c r="S10" s="8">
        <f t="shared" si="3"/>
        <v>493.40059429203239</v>
      </c>
      <c r="T10" s="8">
        <f t="shared" si="3"/>
        <v>519.91486774095472</v>
      </c>
      <c r="U10" s="8">
        <f t="shared" si="3"/>
        <v>557.09876543209873</v>
      </c>
      <c r="V10" s="8">
        <f t="shared" si="3"/>
        <v>512.45141787822081</v>
      </c>
      <c r="W10" s="8">
        <f t="shared" si="3"/>
        <v>509.80392156862746</v>
      </c>
      <c r="X10" s="8">
        <f t="shared" si="3"/>
        <v>495.55273189326562</v>
      </c>
      <c r="Y10" s="8">
        <f t="shared" si="3"/>
        <v>506.36452650720372</v>
      </c>
      <c r="Z10" s="8">
        <f t="shared" si="3"/>
        <v>533.73455812480199</v>
      </c>
      <c r="AA10" s="8">
        <f t="shared" si="3"/>
        <v>509.74950704739643</v>
      </c>
      <c r="AB10" s="8">
        <f t="shared" si="3"/>
        <v>525.99939885782987</v>
      </c>
      <c r="AC10" s="8">
        <f t="shared" si="3"/>
        <v>522.58305337812612</v>
      </c>
      <c r="AD10" s="8">
        <f t="shared" si="3"/>
        <v>495.72770284584425</v>
      </c>
      <c r="AE10" s="8">
        <f t="shared" si="3"/>
        <v>520.95990279465377</v>
      </c>
      <c r="AF10" s="8">
        <f t="shared" si="3"/>
        <v>480.74296640262219</v>
      </c>
      <c r="AG10" s="8">
        <f t="shared" si="3"/>
        <v>502.95647218066534</v>
      </c>
      <c r="AH10" s="8">
        <f t="shared" si="3"/>
        <v>474.52032184856614</v>
      </c>
      <c r="AI10" s="8" t="e">
        <f t="shared" si="3"/>
        <v>#DIV/0!</v>
      </c>
    </row>
    <row r="11" spans="1:35" s="3" customFormat="1" ht="24.95" customHeight="1">
      <c r="A11" s="51"/>
      <c r="B11" s="9" t="s">
        <v>44</v>
      </c>
      <c r="C11" s="8">
        <f>(C8-C16)/C5</f>
        <v>433.69801229583555</v>
      </c>
      <c r="D11" s="8">
        <f>(D8-D16)/D5</f>
        <v>430.25478928252534</v>
      </c>
      <c r="E11" s="8">
        <f>(E8-E16)/E5</f>
        <v>394.26523297491036</v>
      </c>
      <c r="F11" s="8">
        <f>(F8-F16)/F5</f>
        <v>370.47673750717979</v>
      </c>
      <c r="G11" s="8">
        <f>(G8-G16)/G5</f>
        <v>383.78920234856082</v>
      </c>
      <c r="H11" s="8">
        <f>(H8-H16)/H5</f>
        <v>408.58623242042933</v>
      </c>
      <c r="I11" s="8">
        <f>(I8-I16)/I5</f>
        <v>442.36357765579595</v>
      </c>
      <c r="J11" s="8">
        <f>(J8-J16)/J5</f>
        <v>405.54962646744934</v>
      </c>
      <c r="K11" s="8">
        <f>(K8-K16)/K5</f>
        <v>390.7906694940927</v>
      </c>
      <c r="L11" s="8">
        <f>(L8-L16)/L5</f>
        <v>378.49895660934015</v>
      </c>
      <c r="M11" s="8">
        <f>(M8-M16)/M5</f>
        <v>415.08128675198896</v>
      </c>
      <c r="N11" s="8">
        <f>(N8-N16)/N5</f>
        <v>428.47773810391305</v>
      </c>
      <c r="O11" s="8">
        <f>(O8-O16)/O5</f>
        <v>423.44150003459492</v>
      </c>
      <c r="P11" s="8">
        <f>(P8-P16)/P5</f>
        <v>442.13454359124518</v>
      </c>
      <c r="Q11" s="8">
        <f>(Q8-Q16)/Q5</f>
        <v>438.44615824050271</v>
      </c>
      <c r="R11" s="8">
        <f>(R8-R16)/R5</f>
        <v>424.54873646209387</v>
      </c>
      <c r="S11" s="8">
        <f>(S8-S16)/S5</f>
        <v>428.44309308271721</v>
      </c>
      <c r="T11" s="8">
        <f>(T8-T16)/T5</f>
        <v>451.50501672240807</v>
      </c>
      <c r="U11" s="8">
        <f>(U8-U16)/U5</f>
        <v>481.48148148148147</v>
      </c>
      <c r="V11" s="8">
        <f>(V8-V16)/V5</f>
        <v>444.79631495609613</v>
      </c>
      <c r="W11" s="8">
        <f>(W8-W16)/W5</f>
        <v>441.53957879448075</v>
      </c>
      <c r="X11" s="8">
        <f>(X8-X16)/X5</f>
        <v>430.60849922349291</v>
      </c>
      <c r="Y11" s="8">
        <f>(Y8-Y16)/Y5</f>
        <v>440.62106588334029</v>
      </c>
      <c r="Z11" s="8">
        <f>(Z8-Z16)/Z5</f>
        <v>459.29680076021543</v>
      </c>
      <c r="AA11" s="8">
        <f>(AA8-AA16)/AA5</f>
        <v>442.56189293799747</v>
      </c>
      <c r="AB11" s="8">
        <f>(AB8-AB16)/AB5</f>
        <v>453.86233844304178</v>
      </c>
      <c r="AC11" s="8">
        <f>(AC8-AC16)/AC5</f>
        <v>449.42142590518853</v>
      </c>
      <c r="AD11" s="8">
        <f>(AD8-AD16)/AD5</f>
        <v>429.34820987218421</v>
      </c>
      <c r="AE11" s="8">
        <f>(AE8-AE16)/AE5</f>
        <v>451.09356014580806</v>
      </c>
      <c r="AF11" s="8">
        <f>(AF8-AF16)/AF5</f>
        <v>415.18710734771918</v>
      </c>
      <c r="AG11" s="8">
        <f>(AG8-AG16)/AG5</f>
        <v>433.14098454085627</v>
      </c>
      <c r="AH11" s="8">
        <f>(AH8-AH16)/AH5</f>
        <v>411.25094560209067</v>
      </c>
      <c r="AI11" s="8" t="e">
        <f>(AI8-AI16)/AI5</f>
        <v>#DIV/0!</v>
      </c>
    </row>
    <row r="12" spans="1:35" s="3" customFormat="1" ht="24.95" customHeight="1">
      <c r="A12" s="51"/>
      <c r="B12" s="6" t="s">
        <v>45</v>
      </c>
      <c r="C12" s="8">
        <f>D12+'8月'!C12</f>
        <v>401891.67599999998</v>
      </c>
      <c r="D12" s="8">
        <f t="shared" ref="D12:D17" si="4">SUM(E12:AI12)</f>
        <v>42432.740000000005</v>
      </c>
      <c r="E12" s="7">
        <v>1331.66</v>
      </c>
      <c r="F12" s="7">
        <v>1365.7</v>
      </c>
      <c r="G12" s="7">
        <v>1382.28</v>
      </c>
      <c r="H12" s="7">
        <v>1288.82</v>
      </c>
      <c r="I12" s="7">
        <v>1270.06</v>
      </c>
      <c r="J12" s="7">
        <v>1229.74</v>
      </c>
      <c r="K12" s="7">
        <v>1255.5999999999999</v>
      </c>
      <c r="L12" s="7">
        <v>1300.06</v>
      </c>
      <c r="M12" s="7">
        <v>1314.1</v>
      </c>
      <c r="N12" s="7">
        <v>1317.2</v>
      </c>
      <c r="O12" s="7">
        <v>1220.3800000000001</v>
      </c>
      <c r="P12" s="7">
        <v>1273.1400000000001</v>
      </c>
      <c r="Q12" s="7">
        <v>1293.22</v>
      </c>
      <c r="R12" s="7">
        <v>1349.14</v>
      </c>
      <c r="S12" s="7">
        <v>1472.94</v>
      </c>
      <c r="T12" s="7">
        <v>1618.16</v>
      </c>
      <c r="U12" s="7">
        <v>1453.14</v>
      </c>
      <c r="V12" s="7">
        <v>1433.94</v>
      </c>
      <c r="W12" s="7">
        <v>1572.4</v>
      </c>
      <c r="X12" s="7">
        <v>1505.72</v>
      </c>
      <c r="Y12" s="7">
        <v>1485.08</v>
      </c>
      <c r="Z12" s="7">
        <v>1547.46</v>
      </c>
      <c r="AA12" s="7">
        <v>1585.86</v>
      </c>
      <c r="AB12" s="7">
        <v>1569.86</v>
      </c>
      <c r="AC12" s="7">
        <v>1589.7</v>
      </c>
      <c r="AD12" s="12">
        <v>1379.58</v>
      </c>
      <c r="AE12" s="12">
        <v>1393.4</v>
      </c>
      <c r="AF12" s="7">
        <v>1546.7</v>
      </c>
      <c r="AG12" s="7">
        <v>1552.76</v>
      </c>
      <c r="AH12" s="7">
        <v>1534.94</v>
      </c>
      <c r="AI12" s="7"/>
    </row>
    <row r="13" spans="1:35" s="3" customFormat="1" ht="24.95" customHeight="1">
      <c r="A13" s="52" t="s">
        <v>46</v>
      </c>
      <c r="B13" s="6" t="s">
        <v>36</v>
      </c>
      <c r="C13" s="8">
        <f>D13+'8月'!C13</f>
        <v>381910</v>
      </c>
      <c r="D13" s="10">
        <f t="shared" si="4"/>
        <v>37934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f>258+548+561</f>
        <v>1367</v>
      </c>
      <c r="M13" s="27">
        <f>554+562+558</f>
        <v>1674</v>
      </c>
      <c r="N13" s="7">
        <f>569+481+539</f>
        <v>1589</v>
      </c>
      <c r="O13" s="7">
        <f>567+556+566</f>
        <v>1689</v>
      </c>
      <c r="P13" s="27">
        <f>556+561+564</f>
        <v>1681</v>
      </c>
      <c r="Q13" s="7">
        <f>563+568+552</f>
        <v>1683</v>
      </c>
      <c r="R13" s="7">
        <f>530+561+474</f>
        <v>1565</v>
      </c>
      <c r="S13" s="7">
        <f>545+587+570</f>
        <v>1702</v>
      </c>
      <c r="T13" s="7">
        <f>558+515+563</f>
        <v>1636</v>
      </c>
      <c r="U13" s="7">
        <f>558+557+579</f>
        <v>1694</v>
      </c>
      <c r="V13" s="7">
        <f>574+531+571</f>
        <v>1676</v>
      </c>
      <c r="W13" s="7">
        <f>560+556+569</f>
        <v>1685</v>
      </c>
      <c r="X13" s="7">
        <f>565+570+550</f>
        <v>1685</v>
      </c>
      <c r="Y13" s="7">
        <f>583+574+572</f>
        <v>1729</v>
      </c>
      <c r="Z13" s="7">
        <f>548+502+517</f>
        <v>1567</v>
      </c>
      <c r="AA13" s="7">
        <f>546+519+556</f>
        <v>1621</v>
      </c>
      <c r="AB13" s="7">
        <f>560+565+560</f>
        <v>1685</v>
      </c>
      <c r="AC13" s="7">
        <f>557+567+563</f>
        <v>1687</v>
      </c>
      <c r="AD13" s="7">
        <f>563+560+569</f>
        <v>1692</v>
      </c>
      <c r="AE13" s="7">
        <f>560+537+545</f>
        <v>1642</v>
      </c>
      <c r="AF13" s="7">
        <f>576+554+553</f>
        <v>1683</v>
      </c>
      <c r="AG13" s="7">
        <f>556+551+554</f>
        <v>1661</v>
      </c>
      <c r="AH13" s="7">
        <f>559+533+549</f>
        <v>1641</v>
      </c>
      <c r="AI13" s="7"/>
    </row>
    <row r="14" spans="1:35" s="3" customFormat="1" ht="24.95" customHeight="1">
      <c r="A14" s="55"/>
      <c r="B14" s="6" t="s">
        <v>37</v>
      </c>
      <c r="C14" s="8">
        <f>D14+'8月'!C14</f>
        <v>417025</v>
      </c>
      <c r="D14" s="10">
        <f t="shared" si="4"/>
        <v>46050</v>
      </c>
      <c r="E14" s="7">
        <f>539+530+530</f>
        <v>1599</v>
      </c>
      <c r="F14" s="7">
        <f>527+532+517</f>
        <v>1576</v>
      </c>
      <c r="G14" s="7">
        <f>530+533+522</f>
        <v>1585</v>
      </c>
      <c r="H14" s="7">
        <f>521+512+519</f>
        <v>1552</v>
      </c>
      <c r="I14" s="7">
        <f>526+513+515</f>
        <v>1554</v>
      </c>
      <c r="J14" s="7">
        <f>498+501+491</f>
        <v>1490</v>
      </c>
      <c r="K14" s="7">
        <f>515+510+500</f>
        <v>1525</v>
      </c>
      <c r="L14" s="7">
        <f>496+488+497</f>
        <v>1481</v>
      </c>
      <c r="M14" s="27">
        <f>492+498+499</f>
        <v>1489</v>
      </c>
      <c r="N14" s="7">
        <f>540+484+501</f>
        <v>1525</v>
      </c>
      <c r="O14" s="7">
        <f>506+519+507</f>
        <v>1532</v>
      </c>
      <c r="P14" s="27">
        <f>506+500+509</f>
        <v>1515</v>
      </c>
      <c r="Q14" s="7">
        <f>521+520+529</f>
        <v>1570</v>
      </c>
      <c r="R14" s="7">
        <f>512+524+517</f>
        <v>1553</v>
      </c>
      <c r="S14" s="7">
        <f>510+517+517</f>
        <v>1544</v>
      </c>
      <c r="T14" s="7">
        <f>522+470+485</f>
        <v>1477</v>
      </c>
      <c r="U14" s="7">
        <f>536+533+535</f>
        <v>1604</v>
      </c>
      <c r="V14" s="7">
        <f>522+527+530</f>
        <v>1579</v>
      </c>
      <c r="W14" s="7">
        <f>505+506+512</f>
        <v>1523</v>
      </c>
      <c r="X14" s="7">
        <f>503+503+527</f>
        <v>1533</v>
      </c>
      <c r="Y14" s="7">
        <f>519+530+531</f>
        <v>1580</v>
      </c>
      <c r="Z14" s="7">
        <f>503+477+493</f>
        <v>1473</v>
      </c>
      <c r="AA14" s="7">
        <f>517+515+530</f>
        <v>1562</v>
      </c>
      <c r="AB14" s="7">
        <f>500+503+504</f>
        <v>1507</v>
      </c>
      <c r="AC14" s="7">
        <f>506+496+506</f>
        <v>1508</v>
      </c>
      <c r="AD14" s="7">
        <f>502+503+506</f>
        <v>1511</v>
      </c>
      <c r="AE14" s="7">
        <f>512+491+479</f>
        <v>1482</v>
      </c>
      <c r="AF14" s="7">
        <f>495+512+520</f>
        <v>1527</v>
      </c>
      <c r="AG14" s="7">
        <f>510+510+534</f>
        <v>1554</v>
      </c>
      <c r="AH14" s="7">
        <f>506+528+506</f>
        <v>1540</v>
      </c>
      <c r="AI14" s="7"/>
    </row>
    <row r="15" spans="1:35" s="3" customFormat="1" ht="24" customHeight="1">
      <c r="A15" s="56"/>
      <c r="B15" s="7" t="s">
        <v>38</v>
      </c>
      <c r="C15" s="8">
        <f>D15+'8月'!C15</f>
        <v>798935</v>
      </c>
      <c r="D15" s="7">
        <f t="shared" si="4"/>
        <v>83984</v>
      </c>
      <c r="E15" s="7">
        <f>E13+E14</f>
        <v>1599</v>
      </c>
      <c r="F15" s="7">
        <f t="shared" ref="F15:AI15" si="5">F13+F14</f>
        <v>1576</v>
      </c>
      <c r="G15" s="7">
        <f t="shared" si="5"/>
        <v>1585</v>
      </c>
      <c r="H15" s="7">
        <f t="shared" si="5"/>
        <v>1552</v>
      </c>
      <c r="I15" s="7">
        <f t="shared" si="5"/>
        <v>1554</v>
      </c>
      <c r="J15" s="7">
        <f t="shared" si="5"/>
        <v>1490</v>
      </c>
      <c r="K15" s="7">
        <f t="shared" si="5"/>
        <v>1525</v>
      </c>
      <c r="L15" s="7">
        <f t="shared" si="5"/>
        <v>2848</v>
      </c>
      <c r="M15" s="7">
        <f t="shared" si="5"/>
        <v>3163</v>
      </c>
      <c r="N15" s="7">
        <f t="shared" si="5"/>
        <v>3114</v>
      </c>
      <c r="O15" s="7">
        <f t="shared" si="5"/>
        <v>3221</v>
      </c>
      <c r="P15" s="7">
        <f t="shared" si="5"/>
        <v>3196</v>
      </c>
      <c r="Q15" s="7">
        <f t="shared" si="5"/>
        <v>3253</v>
      </c>
      <c r="R15" s="7">
        <f t="shared" si="5"/>
        <v>3118</v>
      </c>
      <c r="S15" s="7">
        <f t="shared" si="5"/>
        <v>3246</v>
      </c>
      <c r="T15" s="7">
        <f t="shared" si="5"/>
        <v>3113</v>
      </c>
      <c r="U15" s="7">
        <f t="shared" si="5"/>
        <v>3298</v>
      </c>
      <c r="V15" s="7">
        <f t="shared" si="5"/>
        <v>3255</v>
      </c>
      <c r="W15" s="7">
        <f t="shared" si="5"/>
        <v>3208</v>
      </c>
      <c r="X15" s="7">
        <f t="shared" si="5"/>
        <v>3218</v>
      </c>
      <c r="Y15" s="7">
        <f t="shared" si="5"/>
        <v>3309</v>
      </c>
      <c r="Z15" s="7">
        <f t="shared" si="5"/>
        <v>3040</v>
      </c>
      <c r="AA15" s="7">
        <f t="shared" si="5"/>
        <v>3183</v>
      </c>
      <c r="AB15" s="7">
        <f t="shared" si="5"/>
        <v>3192</v>
      </c>
      <c r="AC15" s="7">
        <f t="shared" si="5"/>
        <v>3195</v>
      </c>
      <c r="AD15" s="7">
        <f t="shared" si="5"/>
        <v>3203</v>
      </c>
      <c r="AE15" s="7">
        <f t="shared" si="5"/>
        <v>3124</v>
      </c>
      <c r="AF15" s="7">
        <f t="shared" si="5"/>
        <v>3210</v>
      </c>
      <c r="AG15" s="7">
        <f t="shared" si="5"/>
        <v>3215</v>
      </c>
      <c r="AH15" s="7">
        <f t="shared" si="5"/>
        <v>3181</v>
      </c>
      <c r="AI15" s="7">
        <f t="shared" si="5"/>
        <v>0</v>
      </c>
    </row>
    <row r="16" spans="1:35" s="3" customFormat="1" ht="24.95" customHeight="1">
      <c r="A16" s="51" t="s">
        <v>47</v>
      </c>
      <c r="B16" s="7" t="s">
        <v>38</v>
      </c>
      <c r="C16" s="8">
        <f>D16+'8月'!C16</f>
        <v>24590000</v>
      </c>
      <c r="D16" s="7">
        <f t="shared" si="4"/>
        <v>2674000</v>
      </c>
      <c r="E16" s="7">
        <v>76000</v>
      </c>
      <c r="F16" s="7">
        <v>74000</v>
      </c>
      <c r="G16" s="7">
        <v>76000</v>
      </c>
      <c r="H16" s="7">
        <v>68000</v>
      </c>
      <c r="I16" s="7">
        <v>72000</v>
      </c>
      <c r="J16" s="7">
        <v>66000</v>
      </c>
      <c r="K16" s="7">
        <v>70000</v>
      </c>
      <c r="L16" s="7">
        <v>94000</v>
      </c>
      <c r="M16" s="7">
        <v>96000</v>
      </c>
      <c r="N16" s="7">
        <v>94000</v>
      </c>
      <c r="O16" s="7">
        <v>96000</v>
      </c>
      <c r="P16" s="7">
        <v>94000</v>
      </c>
      <c r="Q16" s="7">
        <v>96000</v>
      </c>
      <c r="R16" s="7">
        <v>94000</v>
      </c>
      <c r="S16" s="7">
        <v>94000</v>
      </c>
      <c r="T16" s="7">
        <v>90000</v>
      </c>
      <c r="U16" s="7">
        <v>98000</v>
      </c>
      <c r="V16" s="7">
        <v>94000</v>
      </c>
      <c r="W16" s="7">
        <v>94000</v>
      </c>
      <c r="X16" s="7">
        <v>92000</v>
      </c>
      <c r="Y16" s="7">
        <v>94000</v>
      </c>
      <c r="Z16" s="7">
        <v>94000</v>
      </c>
      <c r="AA16" s="7">
        <v>92000</v>
      </c>
      <c r="AB16" s="7">
        <v>96000</v>
      </c>
      <c r="AC16" s="7">
        <v>98000</v>
      </c>
      <c r="AD16" s="7">
        <v>94000</v>
      </c>
      <c r="AE16" s="7">
        <v>92000</v>
      </c>
      <c r="AF16" s="7">
        <v>96000</v>
      </c>
      <c r="AG16" s="7">
        <v>98000</v>
      </c>
      <c r="AH16" s="7">
        <v>92000</v>
      </c>
      <c r="AI16" s="7"/>
    </row>
    <row r="17" spans="1:35" s="3" customFormat="1" ht="24.95" customHeight="1">
      <c r="A17" s="51"/>
      <c r="B17" s="7" t="s">
        <v>77</v>
      </c>
      <c r="C17" s="8">
        <f>D17+'8月'!C17</f>
        <v>1330855</v>
      </c>
      <c r="D17" s="7">
        <f t="shared" si="4"/>
        <v>177915</v>
      </c>
      <c r="E17" s="7">
        <v>6765</v>
      </c>
      <c r="F17" s="7">
        <v>7740</v>
      </c>
      <c r="G17" s="7">
        <v>8010</v>
      </c>
      <c r="H17" s="7">
        <v>6945</v>
      </c>
      <c r="I17" s="7">
        <v>7185</v>
      </c>
      <c r="J17" s="7">
        <v>6525</v>
      </c>
      <c r="K17" s="7">
        <v>6705</v>
      </c>
      <c r="L17" s="7">
        <v>5805</v>
      </c>
      <c r="M17" s="7">
        <v>6270</v>
      </c>
      <c r="N17" s="7">
        <v>5475</v>
      </c>
      <c r="O17" s="7">
        <v>6885</v>
      </c>
      <c r="P17" s="7">
        <v>6570</v>
      </c>
      <c r="Q17" s="7">
        <v>5640</v>
      </c>
      <c r="R17" s="7">
        <v>5130</v>
      </c>
      <c r="S17" s="7">
        <v>4860</v>
      </c>
      <c r="T17" s="7">
        <v>5445</v>
      </c>
      <c r="U17" s="7">
        <v>6390</v>
      </c>
      <c r="V17" s="7">
        <v>4815</v>
      </c>
      <c r="W17" s="7">
        <v>4590</v>
      </c>
      <c r="X17" s="7">
        <v>4890</v>
      </c>
      <c r="Y17" s="7">
        <v>5505</v>
      </c>
      <c r="Z17" s="7">
        <v>5280</v>
      </c>
      <c r="AA17" s="7">
        <v>5205</v>
      </c>
      <c r="AB17" s="7">
        <v>5205</v>
      </c>
      <c r="AC17" s="7">
        <v>6330</v>
      </c>
      <c r="AD17" s="7">
        <v>6195</v>
      </c>
      <c r="AE17" s="7">
        <v>6090</v>
      </c>
      <c r="AF17" s="7">
        <v>5520</v>
      </c>
      <c r="AG17" s="7">
        <v>5445</v>
      </c>
      <c r="AH17" s="7">
        <v>4500</v>
      </c>
      <c r="AI17" s="7"/>
    </row>
    <row r="18" spans="1:35" s="3" customFormat="1" ht="24.95" customHeight="1">
      <c r="A18" s="51"/>
      <c r="B18" s="6" t="s">
        <v>48</v>
      </c>
      <c r="C18" s="11">
        <f>SUM(C16/C8)</f>
        <v>0.13913722472444154</v>
      </c>
      <c r="D18" s="11">
        <f>SUM(D16/D8)</f>
        <v>0.14546839299314546</v>
      </c>
      <c r="E18" s="11">
        <f>SUM(E16/E8)</f>
        <v>0.22352941176470589</v>
      </c>
      <c r="F18" s="11">
        <f>SUM(F16/F8)</f>
        <v>0.22289156626506024</v>
      </c>
      <c r="G18" s="11">
        <f>SUM(G16/G8)</f>
        <v>0.22093023255813954</v>
      </c>
      <c r="H18" s="11">
        <f>SUM(H16/H8)</f>
        <v>0.19767441860465115</v>
      </c>
      <c r="I18" s="11">
        <f>SUM(I16/I8)</f>
        <v>0.20809248554913296</v>
      </c>
      <c r="J18" s="11">
        <f>SUM(J16/J8)</f>
        <v>0.19879518072289157</v>
      </c>
      <c r="K18" s="11">
        <f>SUM(K16/K8)</f>
        <v>0.21341463414634146</v>
      </c>
      <c r="L18" s="11">
        <f>SUM(L16/L8)</f>
        <v>0.15161290322580645</v>
      </c>
      <c r="M18" s="11">
        <f>SUM(M16/M8)</f>
        <v>0.13793103448275862</v>
      </c>
      <c r="N18" s="11">
        <f>SUM(N16/N8)</f>
        <v>0.1378299120234604</v>
      </c>
      <c r="O18" s="11">
        <f>SUM(O16/O8)</f>
        <v>0.13559322033898305</v>
      </c>
      <c r="P18" s="11">
        <f>SUM(P16/P8)</f>
        <v>0.1346704871060172</v>
      </c>
      <c r="Q18" s="11">
        <f>SUM(Q16/Q8)</f>
        <v>0.13521126760563379</v>
      </c>
      <c r="R18" s="11">
        <f>SUM(R16/R8)</f>
        <v>0.1378299120234604</v>
      </c>
      <c r="S18" s="11">
        <f>SUM(S16/S8)</f>
        <v>0.13165266106442577</v>
      </c>
      <c r="T18" s="11">
        <f>SUM(T16/T8)</f>
        <v>0.13157894736842105</v>
      </c>
      <c r="U18" s="11">
        <f>SUM(U16/U8)</f>
        <v>0.13573407202216067</v>
      </c>
      <c r="V18" s="11">
        <f>SUM(V16/V8)</f>
        <v>0.13202247191011235</v>
      </c>
      <c r="W18" s="11">
        <f>SUM(W16/W8)</f>
        <v>0.13390313390313391</v>
      </c>
      <c r="X18" s="11">
        <f>SUM(X16/X8)</f>
        <v>0.13105413105413105</v>
      </c>
      <c r="Y18" s="11">
        <f>SUM(Y16/Y8)</f>
        <v>0.12983425414364641</v>
      </c>
      <c r="Z18" s="11">
        <f>SUM(Z16/Z8)</f>
        <v>0.1394658753709199</v>
      </c>
      <c r="AA18" s="11">
        <f>SUM(AA16/AA8)</f>
        <v>0.1318051575931232</v>
      </c>
      <c r="AB18" s="11">
        <f>SUM(AB16/AB8)</f>
        <v>0.13714285714285715</v>
      </c>
      <c r="AC18" s="11">
        <f>SUM(AC16/AC8)</f>
        <v>0.14000000000000001</v>
      </c>
      <c r="AD18" s="11">
        <f>SUM(AD16/AD8)</f>
        <v>0.13390313390313391</v>
      </c>
      <c r="AE18" s="11">
        <f>SUM(AE16/AE8)</f>
        <v>0.13411078717201166</v>
      </c>
      <c r="AF18" s="11">
        <f>SUM(AF16/AF8)</f>
        <v>0.13636363636363635</v>
      </c>
      <c r="AG18" s="11">
        <f>SUM(AG16/AG8)</f>
        <v>0.13881019830028329</v>
      </c>
      <c r="AH18" s="11">
        <f>SUM(AH16/AH8)</f>
        <v>0.13333333333333333</v>
      </c>
      <c r="AI18" s="11" t="e">
        <f>SUM(AI16/AI8)</f>
        <v>#DIV/0!</v>
      </c>
    </row>
    <row r="19" spans="1:35" s="3" customFormat="1" ht="24.95" customHeight="1">
      <c r="A19" s="13"/>
      <c r="B19" s="13" t="s">
        <v>49</v>
      </c>
      <c r="C19" s="7">
        <f>D19+'8月'!C19</f>
        <v>92</v>
      </c>
      <c r="D19" s="7">
        <f t="shared" ref="D19" si="6">COUNT(E19:AI19)</f>
        <v>30</v>
      </c>
      <c r="E19" s="14">
        <v>20700</v>
      </c>
      <c r="F19" s="14">
        <v>21200</v>
      </c>
      <c r="G19" s="14">
        <v>21600</v>
      </c>
      <c r="H19" s="14">
        <v>22000</v>
      </c>
      <c r="I19" s="14">
        <v>22600</v>
      </c>
      <c r="J19" s="14">
        <v>22900</v>
      </c>
      <c r="K19" s="14">
        <v>23400</v>
      </c>
      <c r="L19" s="14">
        <v>23000</v>
      </c>
      <c r="M19" s="7">
        <v>22600</v>
      </c>
      <c r="N19" s="7">
        <v>22500</v>
      </c>
      <c r="O19" s="7">
        <v>22000</v>
      </c>
      <c r="P19" s="7">
        <v>21800</v>
      </c>
      <c r="Q19" s="7">
        <v>21600</v>
      </c>
      <c r="R19" s="7">
        <v>21500</v>
      </c>
      <c r="S19" s="7">
        <v>21200</v>
      </c>
      <c r="T19" s="7">
        <v>21300</v>
      </c>
      <c r="U19" s="7">
        <v>21400</v>
      </c>
      <c r="V19" s="7">
        <v>21200</v>
      </c>
      <c r="W19" s="7">
        <v>21200</v>
      </c>
      <c r="X19" s="7">
        <v>21100</v>
      </c>
      <c r="Y19" s="7">
        <v>21100</v>
      </c>
      <c r="Z19" s="7">
        <v>21200</v>
      </c>
      <c r="AA19" s="7">
        <v>21200</v>
      </c>
      <c r="AB19" s="7">
        <v>21200</v>
      </c>
      <c r="AC19" s="7">
        <v>21300</v>
      </c>
      <c r="AD19" s="7">
        <v>21100</v>
      </c>
      <c r="AE19" s="7">
        <v>20000</v>
      </c>
      <c r="AF19" s="7">
        <v>19900</v>
      </c>
      <c r="AG19" s="7">
        <v>19900</v>
      </c>
      <c r="AH19" s="7">
        <v>19800</v>
      </c>
      <c r="AI19" s="7"/>
    </row>
    <row r="20" spans="1:35" s="3" customFormat="1" ht="24.95" customHeight="1">
      <c r="A20" s="62" t="s">
        <v>50</v>
      </c>
      <c r="B20" s="13" t="s">
        <v>51</v>
      </c>
      <c r="C20" s="7">
        <f>D20+'8月'!C20</f>
        <v>78676.340000000011</v>
      </c>
      <c r="D20" s="7">
        <f t="shared" ref="D20:D33" si="7">SUM(E20:AI20)</f>
        <v>9627.3399999999983</v>
      </c>
      <c r="E20" s="7">
        <v>316.2</v>
      </c>
      <c r="F20" s="15">
        <v>331.4</v>
      </c>
      <c r="G20" s="15">
        <v>347.16</v>
      </c>
      <c r="H20" s="15">
        <v>293</v>
      </c>
      <c r="I20" s="15">
        <v>280.83999999999997</v>
      </c>
      <c r="J20" s="15">
        <v>364.08</v>
      </c>
      <c r="K20" s="15">
        <v>299.95999999999998</v>
      </c>
      <c r="L20" s="15">
        <v>285.89999999999998</v>
      </c>
      <c r="M20" s="15">
        <v>335.46</v>
      </c>
      <c r="N20" s="15">
        <v>282.7</v>
      </c>
      <c r="O20" s="15">
        <v>281.3</v>
      </c>
      <c r="P20" s="15">
        <v>324.86</v>
      </c>
      <c r="Q20" s="15">
        <v>323.39999999999998</v>
      </c>
      <c r="R20" s="17">
        <v>279.2</v>
      </c>
      <c r="S20" s="15">
        <v>313.89999999999998</v>
      </c>
      <c r="T20" s="15">
        <v>334.4</v>
      </c>
      <c r="U20" s="15">
        <v>324.98</v>
      </c>
      <c r="V20" s="15">
        <v>320.92</v>
      </c>
      <c r="W20" s="15">
        <v>321.92</v>
      </c>
      <c r="X20" s="15">
        <v>410.26</v>
      </c>
      <c r="Y20" s="15">
        <v>342.94</v>
      </c>
      <c r="Z20" s="15">
        <v>324.2</v>
      </c>
      <c r="AA20" s="15">
        <v>365.9</v>
      </c>
      <c r="AB20" s="15">
        <v>330.56</v>
      </c>
      <c r="AC20" s="15">
        <v>349.78</v>
      </c>
      <c r="AD20" s="15">
        <v>333.4</v>
      </c>
      <c r="AE20" s="15">
        <v>311.3</v>
      </c>
      <c r="AF20" s="15">
        <v>342.98</v>
      </c>
      <c r="AG20" s="15">
        <v>276.42</v>
      </c>
      <c r="AH20" s="15">
        <v>278.02</v>
      </c>
      <c r="AI20" s="15"/>
    </row>
    <row r="21" spans="1:35" s="3" customFormat="1" ht="24.95" customHeight="1">
      <c r="A21" s="63"/>
      <c r="B21" s="16" t="s">
        <v>52</v>
      </c>
      <c r="C21" s="7">
        <f>D21+'8月'!C21</f>
        <v>7682.7399999999989</v>
      </c>
      <c r="D21" s="7">
        <f t="shared" si="7"/>
        <v>2209.62</v>
      </c>
      <c r="E21" s="17">
        <v>97.9</v>
      </c>
      <c r="F21" s="15">
        <v>107.3</v>
      </c>
      <c r="G21" s="15">
        <v>101.16</v>
      </c>
      <c r="H21" s="15">
        <v>125.76</v>
      </c>
      <c r="I21" s="15">
        <v>114.24</v>
      </c>
      <c r="J21" s="15">
        <v>104.44</v>
      </c>
      <c r="K21" s="15">
        <v>23.82</v>
      </c>
      <c r="L21" s="15">
        <v>101.02</v>
      </c>
      <c r="M21" s="15">
        <v>97.86</v>
      </c>
      <c r="N21" s="15">
        <v>93.88</v>
      </c>
      <c r="O21" s="15">
        <v>113.94</v>
      </c>
      <c r="P21" s="15">
        <v>112.22</v>
      </c>
      <c r="Q21" s="15">
        <v>122.08</v>
      </c>
      <c r="R21" s="17">
        <v>96.82</v>
      </c>
      <c r="S21" s="15">
        <v>104.4</v>
      </c>
      <c r="T21" s="15">
        <v>106.86</v>
      </c>
      <c r="U21" s="15">
        <v>110.92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>
        <v>102.62</v>
      </c>
      <c r="AG21" s="15">
        <v>198.04</v>
      </c>
      <c r="AH21" s="15">
        <v>174.34</v>
      </c>
      <c r="AI21" s="15"/>
    </row>
    <row r="22" spans="1:35" s="3" customFormat="1" ht="24.95" customHeight="1">
      <c r="A22" s="63"/>
      <c r="B22" s="16" t="s">
        <v>53</v>
      </c>
      <c r="C22" s="7">
        <f>D22+'8月'!C22</f>
        <v>0</v>
      </c>
      <c r="D22" s="7">
        <f t="shared" si="7"/>
        <v>0</v>
      </c>
      <c r="E22" s="17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4.95" customHeight="1">
      <c r="A23" s="63"/>
      <c r="B23" s="13" t="s">
        <v>54</v>
      </c>
      <c r="C23" s="7">
        <f>D23+'8月'!C23</f>
        <v>2536.52</v>
      </c>
      <c r="D23" s="7">
        <f t="shared" si="7"/>
        <v>0</v>
      </c>
      <c r="E23" s="17"/>
      <c r="F23" s="15"/>
      <c r="G23" s="15"/>
      <c r="H23" s="15"/>
      <c r="I23" s="17"/>
      <c r="J23" s="17"/>
      <c r="K23" s="15"/>
      <c r="L23" s="17"/>
      <c r="M23" s="15"/>
      <c r="N23" s="15"/>
      <c r="O23" s="15"/>
      <c r="P23" s="17"/>
      <c r="Q23" s="15"/>
      <c r="R23" s="17"/>
      <c r="S23" s="15"/>
      <c r="T23" s="17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7"/>
      <c r="AI23" s="15"/>
    </row>
    <row r="24" spans="1:35" s="3" customFormat="1" ht="22.15" customHeight="1">
      <c r="A24" s="63"/>
      <c r="B24" s="13" t="s">
        <v>55</v>
      </c>
      <c r="C24" s="7">
        <f>D24+'8月'!C24</f>
        <v>2890.84</v>
      </c>
      <c r="D24" s="7">
        <f t="shared" si="7"/>
        <v>0</v>
      </c>
      <c r="E24" s="17"/>
      <c r="F24" s="15"/>
      <c r="G24" s="15"/>
      <c r="H24" s="15"/>
      <c r="I24" s="17"/>
      <c r="J24" s="17"/>
      <c r="K24" s="15"/>
      <c r="L24" s="17"/>
      <c r="M24" s="15"/>
      <c r="N24" s="15"/>
      <c r="O24" s="15"/>
      <c r="P24" s="17"/>
      <c r="Q24" s="15"/>
      <c r="R24" s="17"/>
      <c r="S24" s="15"/>
      <c r="T24" s="17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7"/>
      <c r="AI24" s="15"/>
    </row>
    <row r="25" spans="1:35" s="3" customFormat="1" ht="22.15" customHeight="1">
      <c r="A25" s="63"/>
      <c r="B25" s="18" t="s">
        <v>56</v>
      </c>
      <c r="C25" s="7">
        <f>D25+'8月'!C25</f>
        <v>0</v>
      </c>
      <c r="D25" s="7">
        <f t="shared" si="7"/>
        <v>0</v>
      </c>
      <c r="E25" s="17"/>
      <c r="F25" s="15"/>
      <c r="G25" s="15"/>
      <c r="H25" s="15"/>
      <c r="I25" s="17"/>
      <c r="J25" s="17"/>
      <c r="K25" s="15"/>
      <c r="L25" s="17"/>
      <c r="M25" s="15"/>
      <c r="N25" s="15"/>
      <c r="O25" s="15"/>
      <c r="P25" s="17"/>
      <c r="Q25" s="15"/>
      <c r="R25" s="17"/>
      <c r="S25" s="15"/>
      <c r="T25" s="17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7"/>
      <c r="AI25" s="15"/>
    </row>
    <row r="26" spans="1:35" s="3" customFormat="1" ht="22.15" customHeight="1">
      <c r="A26" s="63"/>
      <c r="B26" s="16" t="s">
        <v>57</v>
      </c>
      <c r="C26" s="7">
        <f>D26+'8月'!C26</f>
        <v>66952.819999999992</v>
      </c>
      <c r="D26" s="7">
        <f t="shared" si="7"/>
        <v>7568.76</v>
      </c>
      <c r="E26" s="17">
        <v>267.26</v>
      </c>
      <c r="F26" s="15">
        <v>259.2</v>
      </c>
      <c r="G26" s="15">
        <v>237.64</v>
      </c>
      <c r="H26" s="15">
        <v>227.4</v>
      </c>
      <c r="I26" s="17">
        <v>235.66</v>
      </c>
      <c r="J26" s="17">
        <v>264.98</v>
      </c>
      <c r="K26" s="15">
        <v>236.36</v>
      </c>
      <c r="L26" s="17">
        <v>257.72000000000003</v>
      </c>
      <c r="M26" s="15">
        <v>246.58</v>
      </c>
      <c r="N26" s="15">
        <v>216.44</v>
      </c>
      <c r="O26" s="15">
        <v>213.46</v>
      </c>
      <c r="P26" s="17">
        <v>213.16</v>
      </c>
      <c r="Q26" s="15">
        <v>223.62</v>
      </c>
      <c r="R26" s="17">
        <v>233.76</v>
      </c>
      <c r="S26" s="15">
        <v>266.52</v>
      </c>
      <c r="T26" s="17">
        <v>280.33999999999997</v>
      </c>
      <c r="U26" s="15">
        <v>284.54000000000002</v>
      </c>
      <c r="V26" s="15">
        <v>228.6</v>
      </c>
      <c r="W26" s="15">
        <v>234.08</v>
      </c>
      <c r="X26" s="15">
        <v>232.24</v>
      </c>
      <c r="Y26" s="15">
        <v>230.98</v>
      </c>
      <c r="Z26" s="15">
        <v>309.8</v>
      </c>
      <c r="AA26" s="15">
        <v>321.32</v>
      </c>
      <c r="AB26" s="15">
        <v>315.32</v>
      </c>
      <c r="AC26" s="15">
        <v>357.88</v>
      </c>
      <c r="AD26" s="15">
        <v>231.54</v>
      </c>
      <c r="AE26" s="15">
        <v>239.06</v>
      </c>
      <c r="AF26" s="15">
        <v>233.72</v>
      </c>
      <c r="AG26" s="15">
        <v>230.76</v>
      </c>
      <c r="AH26" s="17">
        <v>238.82</v>
      </c>
      <c r="AI26" s="15"/>
    </row>
    <row r="27" spans="1:35" s="3" customFormat="1" ht="22.15" customHeight="1">
      <c r="A27" s="63"/>
      <c r="B27" s="16" t="s">
        <v>78</v>
      </c>
      <c r="C27" s="7">
        <f>D27+'8月'!C27</f>
        <v>2641.76</v>
      </c>
      <c r="D27" s="7">
        <f t="shared" si="7"/>
        <v>0</v>
      </c>
      <c r="E27" s="17"/>
      <c r="F27" s="15"/>
      <c r="G27" s="15"/>
      <c r="H27" s="15"/>
      <c r="I27" s="17"/>
      <c r="J27" s="17"/>
      <c r="K27" s="15"/>
      <c r="L27" s="17"/>
      <c r="M27" s="15"/>
      <c r="N27" s="15"/>
      <c r="O27" s="15"/>
      <c r="P27" s="17"/>
      <c r="Q27" s="15"/>
      <c r="R27" s="17"/>
      <c r="S27" s="15"/>
      <c r="T27" s="17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7"/>
      <c r="AI27" s="15"/>
    </row>
    <row r="28" spans="1:35" s="3" customFormat="1" ht="22.15" customHeight="1">
      <c r="A28" s="63"/>
      <c r="B28" s="19" t="s">
        <v>59</v>
      </c>
      <c r="C28" s="7">
        <f>D28+'8月'!C28</f>
        <v>44623.880000000005</v>
      </c>
      <c r="D28" s="7">
        <f t="shared" si="7"/>
        <v>2902.7000000000003</v>
      </c>
      <c r="E28" s="17"/>
      <c r="F28" s="15"/>
      <c r="G28" s="15"/>
      <c r="H28" s="15"/>
      <c r="I28" s="17"/>
      <c r="J28" s="17"/>
      <c r="K28" s="15"/>
      <c r="L28" s="17"/>
      <c r="M28" s="15"/>
      <c r="N28" s="15"/>
      <c r="O28" s="15"/>
      <c r="P28" s="17"/>
      <c r="Q28" s="15"/>
      <c r="R28" s="17"/>
      <c r="S28" s="15">
        <v>104.52</v>
      </c>
      <c r="T28" s="17">
        <v>210.52</v>
      </c>
      <c r="U28" s="15">
        <v>162.18</v>
      </c>
      <c r="V28" s="15">
        <v>199.6</v>
      </c>
      <c r="W28" s="15">
        <v>194.52</v>
      </c>
      <c r="X28" s="15">
        <v>156.46</v>
      </c>
      <c r="Y28" s="15">
        <v>184.44</v>
      </c>
      <c r="Z28" s="15">
        <v>192.6</v>
      </c>
      <c r="AA28" s="15">
        <v>207.3</v>
      </c>
      <c r="AB28" s="15">
        <v>197.38</v>
      </c>
      <c r="AC28" s="15">
        <v>180.72</v>
      </c>
      <c r="AD28" s="15">
        <v>186.94</v>
      </c>
      <c r="AE28" s="15">
        <v>190.74</v>
      </c>
      <c r="AF28" s="15">
        <v>180.9</v>
      </c>
      <c r="AG28" s="15">
        <v>166.8</v>
      </c>
      <c r="AH28" s="17">
        <v>187.08</v>
      </c>
      <c r="AI28" s="15"/>
    </row>
    <row r="29" spans="1:35" s="3" customFormat="1" ht="22.15" customHeight="1">
      <c r="A29" s="63"/>
      <c r="B29" s="19" t="s">
        <v>60</v>
      </c>
      <c r="C29" s="7">
        <f>D29+'8月'!C29</f>
        <v>51298.179999999993</v>
      </c>
      <c r="D29" s="7">
        <f t="shared" si="7"/>
        <v>4543.4799999999996</v>
      </c>
      <c r="E29" s="17">
        <v>136.26</v>
      </c>
      <c r="F29" s="15">
        <v>152.16</v>
      </c>
      <c r="G29" s="15">
        <v>153.18</v>
      </c>
      <c r="H29" s="15">
        <v>129.94</v>
      </c>
      <c r="I29" s="17">
        <v>150.06</v>
      </c>
      <c r="J29" s="17">
        <v>148.38</v>
      </c>
      <c r="K29" s="15">
        <v>134.52000000000001</v>
      </c>
      <c r="L29" s="17">
        <v>139.26</v>
      </c>
      <c r="M29" s="15">
        <v>143.94</v>
      </c>
      <c r="N29" s="15">
        <v>161.24</v>
      </c>
      <c r="O29" s="15">
        <v>153.38</v>
      </c>
      <c r="P29" s="17">
        <v>131.6</v>
      </c>
      <c r="Q29" s="15">
        <v>141.91999999999999</v>
      </c>
      <c r="R29" s="17">
        <v>145.58000000000001</v>
      </c>
      <c r="S29" s="15">
        <v>172.96</v>
      </c>
      <c r="T29" s="17">
        <v>162.46</v>
      </c>
      <c r="U29" s="15">
        <v>169.02</v>
      </c>
      <c r="V29" s="15">
        <v>155.26</v>
      </c>
      <c r="W29" s="15">
        <v>165.5</v>
      </c>
      <c r="X29" s="15">
        <v>149.66</v>
      </c>
      <c r="Y29" s="15">
        <v>157.91999999999999</v>
      </c>
      <c r="Z29" s="15">
        <v>161.56</v>
      </c>
      <c r="AA29" s="15">
        <v>162.96</v>
      </c>
      <c r="AB29" s="15">
        <v>170.66</v>
      </c>
      <c r="AC29" s="15">
        <v>113.58</v>
      </c>
      <c r="AD29" s="15">
        <v>138.46</v>
      </c>
      <c r="AE29" s="15">
        <v>160.97999999999999</v>
      </c>
      <c r="AF29" s="15">
        <v>158</v>
      </c>
      <c r="AG29" s="15">
        <v>148.80000000000001</v>
      </c>
      <c r="AH29" s="17">
        <v>174.28</v>
      </c>
      <c r="AI29" s="15"/>
    </row>
    <row r="30" spans="1:35" s="3" customFormat="1" ht="22.15" customHeight="1">
      <c r="A30" s="63"/>
      <c r="B30" s="19" t="s">
        <v>61</v>
      </c>
      <c r="C30" s="7">
        <f>D30+'8月'!C30</f>
        <v>143831.22</v>
      </c>
      <c r="D30" s="7">
        <f t="shared" si="7"/>
        <v>15580.839999999998</v>
      </c>
      <c r="E30" s="17">
        <v>514.04</v>
      </c>
      <c r="F30" s="15">
        <v>515.64</v>
      </c>
      <c r="G30" s="15">
        <v>543.14</v>
      </c>
      <c r="H30" s="15">
        <v>512.72</v>
      </c>
      <c r="I30" s="17">
        <v>489.26</v>
      </c>
      <c r="J30" s="17">
        <v>347.86</v>
      </c>
      <c r="K30" s="15">
        <v>560.94000000000005</v>
      </c>
      <c r="L30" s="17">
        <v>516.16</v>
      </c>
      <c r="M30" s="15">
        <v>490.26</v>
      </c>
      <c r="N30" s="15">
        <v>562.94000000000005</v>
      </c>
      <c r="O30" s="15">
        <v>458.3</v>
      </c>
      <c r="P30" s="17">
        <v>491.3</v>
      </c>
      <c r="Q30" s="15">
        <v>482.2</v>
      </c>
      <c r="R30" s="17">
        <v>593.78</v>
      </c>
      <c r="S30" s="15">
        <v>510.64</v>
      </c>
      <c r="T30" s="17">
        <v>523.58000000000004</v>
      </c>
      <c r="U30" s="15">
        <v>401.5</v>
      </c>
      <c r="V30" s="15">
        <v>529.55999999999995</v>
      </c>
      <c r="W30" s="15">
        <v>656.38</v>
      </c>
      <c r="X30" s="15">
        <v>557.1</v>
      </c>
      <c r="Y30" s="15">
        <v>568.79999999999995</v>
      </c>
      <c r="Z30" s="15">
        <v>559.29999999999995</v>
      </c>
      <c r="AA30" s="15">
        <v>528.38</v>
      </c>
      <c r="AB30" s="15">
        <v>555.94000000000005</v>
      </c>
      <c r="AC30" s="15">
        <v>587.74</v>
      </c>
      <c r="AD30" s="15">
        <v>489.24</v>
      </c>
      <c r="AE30" s="15">
        <v>491.32</v>
      </c>
      <c r="AF30" s="15">
        <v>528.48</v>
      </c>
      <c r="AG30" s="15">
        <v>531.94000000000005</v>
      </c>
      <c r="AH30" s="17">
        <v>482.4</v>
      </c>
      <c r="AI30" s="15"/>
    </row>
    <row r="31" spans="1:35" s="3" customFormat="1" ht="22.15" customHeight="1">
      <c r="A31" s="63"/>
      <c r="B31" s="19" t="s">
        <v>62</v>
      </c>
      <c r="C31" s="7">
        <f>D31+'8月'!C31</f>
        <v>45</v>
      </c>
      <c r="D31" s="7">
        <f t="shared" si="7"/>
        <v>0</v>
      </c>
      <c r="E31" s="17"/>
      <c r="F31" s="15"/>
      <c r="G31" s="15"/>
      <c r="H31" s="15"/>
      <c r="I31" s="17"/>
      <c r="J31" s="17"/>
      <c r="K31" s="15"/>
      <c r="L31" s="17"/>
      <c r="M31" s="15"/>
      <c r="N31" s="15"/>
      <c r="O31" s="15"/>
      <c r="P31" s="17"/>
      <c r="Q31" s="15"/>
      <c r="R31" s="17"/>
      <c r="S31" s="15"/>
      <c r="T31" s="17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7"/>
      <c r="AI31" s="15"/>
    </row>
    <row r="32" spans="1:35" s="3" customFormat="1" ht="22.15" customHeight="1">
      <c r="A32" s="63"/>
      <c r="B32" s="19" t="s">
        <v>63</v>
      </c>
      <c r="C32" s="7">
        <f>D32+'8月'!C32</f>
        <v>0</v>
      </c>
      <c r="D32" s="7">
        <f t="shared" si="7"/>
        <v>0</v>
      </c>
      <c r="E32" s="17"/>
      <c r="F32" s="15"/>
      <c r="G32" s="15"/>
      <c r="H32" s="15"/>
      <c r="I32" s="17"/>
      <c r="J32" s="17"/>
      <c r="K32" s="15"/>
      <c r="L32" s="17"/>
      <c r="M32" s="15"/>
      <c r="N32" s="15"/>
      <c r="O32" s="15"/>
      <c r="P32" s="17"/>
      <c r="Q32" s="15"/>
      <c r="R32" s="17"/>
      <c r="S32" s="15"/>
      <c r="T32" s="17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7"/>
      <c r="AI32" s="15"/>
    </row>
    <row r="33" spans="1:35" s="3" customFormat="1" ht="22.15" customHeight="1">
      <c r="A33" s="63"/>
      <c r="B33" s="19" t="s">
        <v>64</v>
      </c>
      <c r="C33" s="7">
        <f>D33+'8月'!C33</f>
        <v>712.38</v>
      </c>
      <c r="D33" s="7">
        <f t="shared" si="7"/>
        <v>0</v>
      </c>
      <c r="E33" s="17"/>
      <c r="F33" s="15"/>
      <c r="G33" s="15"/>
      <c r="H33" s="15"/>
      <c r="I33" s="17"/>
      <c r="J33" s="17"/>
      <c r="K33" s="15"/>
      <c r="L33" s="17"/>
      <c r="M33" s="15"/>
      <c r="N33" s="15"/>
      <c r="O33" s="15"/>
      <c r="P33" s="17"/>
      <c r="Q33" s="15"/>
      <c r="R33" s="17"/>
      <c r="S33" s="15"/>
      <c r="T33" s="17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28"/>
      <c r="AF33" s="28"/>
      <c r="AG33" s="15"/>
      <c r="AH33" s="17"/>
      <c r="AI33" s="15"/>
    </row>
    <row r="34" spans="1:35" s="3" customFormat="1" ht="22.15" hidden="1" customHeight="1">
      <c r="A34" s="63"/>
      <c r="B34" s="19"/>
      <c r="C34" s="7">
        <f>D34+'8月'!C34</f>
        <v>0</v>
      </c>
      <c r="D34" s="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5"/>
      <c r="AF34" s="17"/>
      <c r="AG34" s="17"/>
      <c r="AH34" s="17"/>
      <c r="AI34" s="17"/>
    </row>
    <row r="35" spans="1:35" s="3" customFormat="1" ht="22.15" hidden="1" customHeight="1">
      <c r="A35" s="63"/>
      <c r="B35" s="19"/>
      <c r="C35" s="7">
        <f>D35+'8月'!C35</f>
        <v>0</v>
      </c>
      <c r="D35" s="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3" customFormat="1" ht="26.1" customHeight="1">
      <c r="A36" s="64"/>
      <c r="B36" s="12" t="s">
        <v>65</v>
      </c>
      <c r="C36" s="7">
        <f>D36+'8月'!C36</f>
        <v>401891.67999999993</v>
      </c>
      <c r="D36" s="7">
        <f t="shared" ref="D36:AI36" si="8">SUM(D20:D35)</f>
        <v>42432.74</v>
      </c>
      <c r="E36" s="7">
        <f t="shared" si="8"/>
        <v>1331.6599999999999</v>
      </c>
      <c r="F36" s="7">
        <f t="shared" si="8"/>
        <v>1365.6999999999998</v>
      </c>
      <c r="G36" s="7">
        <f t="shared" si="8"/>
        <v>1382.2800000000002</v>
      </c>
      <c r="H36" s="7">
        <f t="shared" si="8"/>
        <v>1288.82</v>
      </c>
      <c r="I36" s="7">
        <f t="shared" si="8"/>
        <v>1270.06</v>
      </c>
      <c r="J36" s="7">
        <f t="shared" si="8"/>
        <v>1229.74</v>
      </c>
      <c r="K36" s="7">
        <f t="shared" si="8"/>
        <v>1255.5999999999999</v>
      </c>
      <c r="L36" s="7">
        <f t="shared" si="8"/>
        <v>1300.06</v>
      </c>
      <c r="M36" s="7">
        <f t="shared" si="8"/>
        <v>1314.1</v>
      </c>
      <c r="N36" s="7">
        <f t="shared" si="8"/>
        <v>1317.2</v>
      </c>
      <c r="O36" s="7">
        <f t="shared" si="8"/>
        <v>1220.3800000000001</v>
      </c>
      <c r="P36" s="7">
        <f t="shared" si="8"/>
        <v>1273.1400000000001</v>
      </c>
      <c r="Q36" s="7">
        <f t="shared" si="8"/>
        <v>1293.2199999999998</v>
      </c>
      <c r="R36" s="7">
        <f t="shared" si="8"/>
        <v>1349.1399999999999</v>
      </c>
      <c r="S36" s="7">
        <f t="shared" si="8"/>
        <v>1472.94</v>
      </c>
      <c r="T36" s="7">
        <f t="shared" si="8"/>
        <v>1618.1599999999999</v>
      </c>
      <c r="U36" s="7">
        <f t="shared" si="8"/>
        <v>1453.14</v>
      </c>
      <c r="V36" s="7">
        <f t="shared" si="8"/>
        <v>1433.94</v>
      </c>
      <c r="W36" s="7">
        <f t="shared" si="8"/>
        <v>1572.4</v>
      </c>
      <c r="X36" s="7">
        <f t="shared" si="8"/>
        <v>1505.72</v>
      </c>
      <c r="Y36" s="7">
        <f t="shared" si="8"/>
        <v>1485.08</v>
      </c>
      <c r="Z36" s="7">
        <f t="shared" si="8"/>
        <v>1547.46</v>
      </c>
      <c r="AA36" s="7">
        <f t="shared" si="8"/>
        <v>1585.8600000000001</v>
      </c>
      <c r="AB36" s="7">
        <f t="shared" si="8"/>
        <v>1569.8600000000001</v>
      </c>
      <c r="AC36" s="7">
        <f t="shared" si="8"/>
        <v>1589.7</v>
      </c>
      <c r="AD36" s="7">
        <f t="shared" si="8"/>
        <v>1379.58</v>
      </c>
      <c r="AE36" s="7">
        <f t="shared" si="8"/>
        <v>1393.4</v>
      </c>
      <c r="AF36" s="7">
        <f t="shared" si="8"/>
        <v>1546.7</v>
      </c>
      <c r="AG36" s="7">
        <f t="shared" si="8"/>
        <v>1552.76</v>
      </c>
      <c r="AH36" s="7">
        <f t="shared" si="8"/>
        <v>1534.94</v>
      </c>
      <c r="AI36" s="7">
        <f t="shared" si="8"/>
        <v>0</v>
      </c>
    </row>
    <row r="37" spans="1:35" s="3" customFormat="1" ht="26.25" customHeight="1">
      <c r="A37" s="61" t="s">
        <v>68</v>
      </c>
      <c r="B37" s="12" t="s">
        <v>66</v>
      </c>
      <c r="C37" s="7">
        <f>D37+'8月'!C37</f>
        <v>85544.320000000007</v>
      </c>
      <c r="D37" s="7">
        <f>SUM(E37:AI37)</f>
        <v>8611.16</v>
      </c>
      <c r="E37" s="7">
        <v>254.62</v>
      </c>
      <c r="F37" s="7">
        <v>335.48</v>
      </c>
      <c r="G37" s="7">
        <v>255.08</v>
      </c>
      <c r="H37" s="7">
        <v>404.96</v>
      </c>
      <c r="I37" s="7">
        <v>404.46</v>
      </c>
      <c r="J37" s="7">
        <v>206.36</v>
      </c>
      <c r="K37" s="7">
        <v>213.4</v>
      </c>
      <c r="L37" s="7">
        <v>153.12</v>
      </c>
      <c r="M37" s="7">
        <v>62.96</v>
      </c>
      <c r="N37" s="7">
        <v>135.6</v>
      </c>
      <c r="O37" s="7">
        <v>249.26</v>
      </c>
      <c r="P37" s="7">
        <v>316.5</v>
      </c>
      <c r="Q37" s="7">
        <v>340.78</v>
      </c>
      <c r="R37" s="7">
        <v>427.62</v>
      </c>
      <c r="S37" s="7">
        <v>364.18</v>
      </c>
      <c r="T37" s="7">
        <v>318.16000000000003</v>
      </c>
      <c r="U37" s="7">
        <v>298.95999999999998</v>
      </c>
      <c r="V37" s="7">
        <v>241.22</v>
      </c>
      <c r="W37" s="7">
        <v>341.58</v>
      </c>
      <c r="X37" s="7">
        <v>254.92</v>
      </c>
      <c r="Y37" s="7">
        <v>419.16</v>
      </c>
      <c r="Z37" s="7">
        <v>189.7</v>
      </c>
      <c r="AA37" s="7">
        <v>308.98</v>
      </c>
      <c r="AB37" s="7">
        <v>371.68</v>
      </c>
      <c r="AC37" s="7">
        <v>300</v>
      </c>
      <c r="AD37" s="7">
        <v>288.77999999999997</v>
      </c>
      <c r="AE37" s="7">
        <v>97.06</v>
      </c>
      <c r="AF37" s="7">
        <v>449.34</v>
      </c>
      <c r="AG37" s="7">
        <v>507.84</v>
      </c>
      <c r="AH37" s="7">
        <v>99.4</v>
      </c>
      <c r="AI37" s="7"/>
    </row>
    <row r="38" spans="1:35" s="3" customFormat="1" ht="26.1" customHeight="1">
      <c r="A38" s="53"/>
      <c r="B38" s="12" t="s">
        <v>67</v>
      </c>
      <c r="C38" s="7">
        <f>D38+'8月'!C38</f>
        <v>8255.0400000000009</v>
      </c>
      <c r="D38" s="7">
        <f t="shared" ref="D38:D42" si="9">SUM(E38:AI38)</f>
        <v>739.4799999999999</v>
      </c>
      <c r="E38" s="7">
        <v>22.82</v>
      </c>
      <c r="F38" s="7">
        <v>0</v>
      </c>
      <c r="G38" s="7">
        <v>21.84</v>
      </c>
      <c r="H38" s="7">
        <v>19.96</v>
      </c>
      <c r="I38" s="7">
        <v>19.239999999999998</v>
      </c>
      <c r="J38" s="7">
        <v>15.2</v>
      </c>
      <c r="K38" s="7">
        <v>0</v>
      </c>
      <c r="L38" s="7">
        <v>18.98</v>
      </c>
      <c r="M38" s="7">
        <v>20.7</v>
      </c>
      <c r="N38" s="7">
        <v>41.86</v>
      </c>
      <c r="O38" s="7">
        <v>21.36</v>
      </c>
      <c r="P38" s="7">
        <v>44.04</v>
      </c>
      <c r="Q38" s="7">
        <v>22</v>
      </c>
      <c r="R38" s="7">
        <v>44.12</v>
      </c>
      <c r="S38" s="7">
        <v>17.52</v>
      </c>
      <c r="T38" s="7">
        <v>21.38</v>
      </c>
      <c r="U38" s="7">
        <v>19.22</v>
      </c>
      <c r="V38" s="7">
        <v>19.82</v>
      </c>
      <c r="W38" s="7">
        <v>44.14</v>
      </c>
      <c r="X38" s="7">
        <v>37.340000000000003</v>
      </c>
      <c r="Y38" s="7">
        <v>35.96</v>
      </c>
      <c r="Z38" s="7">
        <v>36.4</v>
      </c>
      <c r="AA38" s="7">
        <v>0</v>
      </c>
      <c r="AB38" s="7">
        <v>33.82</v>
      </c>
      <c r="AC38" s="7">
        <v>48.88</v>
      </c>
      <c r="AD38" s="7">
        <v>20.54</v>
      </c>
      <c r="AE38" s="7">
        <v>38.94</v>
      </c>
      <c r="AF38" s="7">
        <v>22.38</v>
      </c>
      <c r="AG38" s="7">
        <v>21.24</v>
      </c>
      <c r="AH38" s="7">
        <v>9.7799999999999994</v>
      </c>
      <c r="AI38" s="7"/>
    </row>
    <row r="39" spans="1:35" s="3" customFormat="1" ht="24.95" customHeight="1">
      <c r="A39" s="54"/>
      <c r="B39" s="6" t="s">
        <v>69</v>
      </c>
      <c r="C39" s="7">
        <f>D39+'8月'!C39</f>
        <v>40471</v>
      </c>
      <c r="D39" s="7">
        <f t="shared" si="9"/>
        <v>4332</v>
      </c>
      <c r="E39" s="7">
        <v>403</v>
      </c>
      <c r="F39" s="7">
        <v>117</v>
      </c>
      <c r="G39" s="7">
        <v>217</v>
      </c>
      <c r="H39" s="7">
        <v>161</v>
      </c>
      <c r="I39" s="7">
        <v>0</v>
      </c>
      <c r="J39" s="7">
        <v>220</v>
      </c>
      <c r="K39" s="7">
        <v>0</v>
      </c>
      <c r="L39" s="7">
        <v>214</v>
      </c>
      <c r="M39" s="7">
        <v>262</v>
      </c>
      <c r="N39" s="7">
        <v>0</v>
      </c>
      <c r="O39" s="7">
        <v>213</v>
      </c>
      <c r="P39" s="7">
        <v>107</v>
      </c>
      <c r="Q39" s="7">
        <v>0</v>
      </c>
      <c r="R39" s="7">
        <v>0</v>
      </c>
      <c r="S39" s="7">
        <v>302</v>
      </c>
      <c r="T39" s="7">
        <v>202</v>
      </c>
      <c r="U39" s="7">
        <v>0</v>
      </c>
      <c r="V39" s="7">
        <v>167</v>
      </c>
      <c r="W39" s="7">
        <v>167</v>
      </c>
      <c r="X39" s="7">
        <v>189</v>
      </c>
      <c r="Y39" s="7">
        <v>129</v>
      </c>
      <c r="Z39" s="7">
        <v>166</v>
      </c>
      <c r="AA39" s="7">
        <v>195</v>
      </c>
      <c r="AB39" s="7">
        <v>188</v>
      </c>
      <c r="AC39" s="7">
        <v>62</v>
      </c>
      <c r="AD39" s="7">
        <v>108</v>
      </c>
      <c r="AE39" s="7">
        <v>196</v>
      </c>
      <c r="AF39" s="7">
        <v>122</v>
      </c>
      <c r="AG39" s="7">
        <v>120</v>
      </c>
      <c r="AH39" s="7">
        <v>105</v>
      </c>
      <c r="AI39" s="7"/>
    </row>
    <row r="40" spans="1:35" s="3" customFormat="1" ht="24.95" customHeight="1">
      <c r="A40" s="60" t="s">
        <v>70</v>
      </c>
      <c r="B40" s="6" t="s">
        <v>71</v>
      </c>
      <c r="C40" s="7">
        <f>D40+'8月'!C40</f>
        <v>553.58900000000006</v>
      </c>
      <c r="D40" s="7">
        <f t="shared" si="9"/>
        <v>57.06</v>
      </c>
      <c r="E40" s="30">
        <v>1.04</v>
      </c>
      <c r="F40" s="30">
        <v>0.99</v>
      </c>
      <c r="G40" s="30">
        <v>1.02</v>
      </c>
      <c r="H40" s="30">
        <v>1.04</v>
      </c>
      <c r="I40" s="30">
        <v>0.98</v>
      </c>
      <c r="J40" s="30">
        <v>0.97</v>
      </c>
      <c r="K40" s="30">
        <v>0.97</v>
      </c>
      <c r="L40" s="30">
        <v>1.73</v>
      </c>
      <c r="M40" s="30">
        <v>2.5499999999999998</v>
      </c>
      <c r="N40" s="30">
        <v>2.19</v>
      </c>
      <c r="O40" s="31">
        <v>2.7</v>
      </c>
      <c r="P40" s="31">
        <v>2.74</v>
      </c>
      <c r="Q40" s="31">
        <v>2.52</v>
      </c>
      <c r="R40" s="31">
        <v>2.14</v>
      </c>
      <c r="S40" s="31">
        <v>2.63</v>
      </c>
      <c r="T40" s="31">
        <v>2.42</v>
      </c>
      <c r="U40" s="31">
        <v>2.61</v>
      </c>
      <c r="V40" s="31">
        <v>2.35</v>
      </c>
      <c r="W40" s="31">
        <v>2.39</v>
      </c>
      <c r="X40" s="31">
        <v>2.56</v>
      </c>
      <c r="Y40" s="30">
        <v>2.56</v>
      </c>
      <c r="Z40" s="30">
        <v>2.4700000000000002</v>
      </c>
      <c r="AA40" s="30">
        <v>1.63</v>
      </c>
      <c r="AB40" s="30">
        <v>1.56</v>
      </c>
      <c r="AC40" s="30">
        <v>1.44</v>
      </c>
      <c r="AD40" s="30">
        <v>1.3</v>
      </c>
      <c r="AE40" s="30">
        <v>1.41</v>
      </c>
      <c r="AF40" s="30">
        <v>1.24</v>
      </c>
      <c r="AG40" s="30">
        <v>2.12</v>
      </c>
      <c r="AH40" s="30">
        <v>2.79</v>
      </c>
      <c r="AI40" s="7"/>
    </row>
    <row r="41" spans="1:35" s="3" customFormat="1" ht="24.95" customHeight="1">
      <c r="A41" s="60"/>
      <c r="B41" s="6" t="s">
        <v>72</v>
      </c>
      <c r="C41" s="7">
        <f>D41+'8月'!C41</f>
        <v>2577.610000000001</v>
      </c>
      <c r="D41" s="7">
        <f t="shared" si="9"/>
        <v>345.24999999999994</v>
      </c>
      <c r="E41" s="31">
        <v>6.1</v>
      </c>
      <c r="F41" s="31">
        <v>7.02</v>
      </c>
      <c r="G41" s="31">
        <v>8.07</v>
      </c>
      <c r="H41" s="31">
        <v>6.78</v>
      </c>
      <c r="I41" s="31">
        <v>5.91</v>
      </c>
      <c r="J41" s="31">
        <v>6.87</v>
      </c>
      <c r="K41" s="31">
        <v>5.74</v>
      </c>
      <c r="L41" s="31">
        <v>10.25</v>
      </c>
      <c r="M41" s="31">
        <v>13.05</v>
      </c>
      <c r="N41" s="31">
        <v>12.36</v>
      </c>
      <c r="O41" s="30">
        <v>12.6</v>
      </c>
      <c r="P41" s="30">
        <v>12.5</v>
      </c>
      <c r="Q41" s="30">
        <v>13.6</v>
      </c>
      <c r="R41" s="30">
        <v>12.89</v>
      </c>
      <c r="S41" s="30">
        <v>13.34</v>
      </c>
      <c r="T41" s="30">
        <v>13.55</v>
      </c>
      <c r="U41" s="30">
        <v>13.48</v>
      </c>
      <c r="V41" s="30">
        <v>12.02</v>
      </c>
      <c r="W41" s="30">
        <v>13.79</v>
      </c>
      <c r="X41" s="30">
        <v>13.72</v>
      </c>
      <c r="Y41" s="30">
        <v>13.07</v>
      </c>
      <c r="Z41" s="30">
        <v>15.02</v>
      </c>
      <c r="AA41" s="30">
        <v>13.03</v>
      </c>
      <c r="AB41" s="30">
        <v>13.33</v>
      </c>
      <c r="AC41" s="30">
        <v>12.58</v>
      </c>
      <c r="AD41" s="30">
        <v>12.32</v>
      </c>
      <c r="AE41" s="30">
        <v>12.78</v>
      </c>
      <c r="AF41" s="30">
        <v>13.35</v>
      </c>
      <c r="AG41" s="30">
        <v>13.09</v>
      </c>
      <c r="AH41" s="30">
        <v>13.04</v>
      </c>
      <c r="AI41" s="7"/>
    </row>
    <row r="42" spans="1:35" s="3" customFormat="1" ht="24.95" customHeight="1">
      <c r="A42" s="60"/>
      <c r="B42" s="6" t="s">
        <v>73</v>
      </c>
      <c r="C42" s="7">
        <f>D42+'8月'!C42</f>
        <v>169.71000000000004</v>
      </c>
      <c r="D42" s="7">
        <f t="shared" si="9"/>
        <v>18.980000000000004</v>
      </c>
      <c r="E42" s="31">
        <v>0.37</v>
      </c>
      <c r="F42" s="31">
        <v>0.38</v>
      </c>
      <c r="G42" s="31">
        <v>0.38</v>
      </c>
      <c r="H42" s="31">
        <v>0.34</v>
      </c>
      <c r="I42" s="31">
        <v>0.31</v>
      </c>
      <c r="J42" s="31">
        <v>0.33</v>
      </c>
      <c r="K42" s="31">
        <v>0.33</v>
      </c>
      <c r="L42" s="31">
        <v>0.7</v>
      </c>
      <c r="M42" s="31">
        <v>0.74</v>
      </c>
      <c r="N42" s="31">
        <v>0.69</v>
      </c>
      <c r="O42" s="30">
        <v>0.73</v>
      </c>
      <c r="P42" s="30">
        <v>0.7</v>
      </c>
      <c r="Q42" s="30">
        <v>0.7</v>
      </c>
      <c r="R42" s="30">
        <v>0.7</v>
      </c>
      <c r="S42" s="30">
        <v>0.77000000000000302</v>
      </c>
      <c r="T42" s="30">
        <v>0.72</v>
      </c>
      <c r="U42" s="30">
        <v>0.68</v>
      </c>
      <c r="V42" s="30">
        <v>0.74</v>
      </c>
      <c r="W42" s="30">
        <v>0.69</v>
      </c>
      <c r="X42" s="30">
        <v>0.71</v>
      </c>
      <c r="Y42" s="30">
        <v>0.73</v>
      </c>
      <c r="Z42" s="30">
        <v>0.7</v>
      </c>
      <c r="AA42" s="30">
        <v>0.72</v>
      </c>
      <c r="AB42" s="30">
        <v>0.7</v>
      </c>
      <c r="AC42" s="30">
        <v>0.73</v>
      </c>
      <c r="AD42" s="30">
        <v>0.74</v>
      </c>
      <c r="AE42" s="30">
        <v>0.71</v>
      </c>
      <c r="AF42" s="30">
        <v>0.75</v>
      </c>
      <c r="AG42" s="30">
        <v>0.75</v>
      </c>
      <c r="AH42" s="30">
        <v>0.74</v>
      </c>
      <c r="AI42" s="7"/>
    </row>
    <row r="43" spans="1:35" s="1" customFormat="1" ht="18" customHeight="1">
      <c r="B43" s="20" t="s">
        <v>74</v>
      </c>
      <c r="C43" s="21">
        <f>C37/C5</f>
        <v>0.24385377835968303</v>
      </c>
      <c r="D43" s="21">
        <f>D37/D5</f>
        <v>0.23586661772842568</v>
      </c>
      <c r="G43" s="22"/>
    </row>
    <row r="44" spans="1:35" s="1" customFormat="1" ht="18" customHeight="1">
      <c r="B44" s="23" t="s">
        <v>75</v>
      </c>
      <c r="C44" s="24">
        <f>C38/C5</f>
        <v>2.3531927011756219E-2</v>
      </c>
      <c r="D44" s="24">
        <f>D38/D5</f>
        <v>2.0254953627364514E-2</v>
      </c>
      <c r="G44" s="22"/>
    </row>
    <row r="45" spans="1:35" s="1" customFormat="1" ht="18" customHeight="1">
      <c r="B45" s="23" t="s">
        <v>76</v>
      </c>
      <c r="C45" s="24">
        <f>C39/C5</f>
        <v>0.11536717182385378</v>
      </c>
      <c r="D45" s="24">
        <f>D39/D5</f>
        <v>0.11865697397325564</v>
      </c>
      <c r="G45" s="22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</sheetData>
  <mergeCells count="10">
    <mergeCell ref="A16:A18"/>
    <mergeCell ref="A40:A42"/>
    <mergeCell ref="A1:B1"/>
    <mergeCell ref="C1:AI1"/>
    <mergeCell ref="A3:A5"/>
    <mergeCell ref="A6:A8"/>
    <mergeCell ref="A9:A12"/>
    <mergeCell ref="A13:A15"/>
    <mergeCell ref="A20:A36"/>
    <mergeCell ref="A37:A39"/>
  </mergeCells>
  <phoneticPr fontId="1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黄文武</cp:lastModifiedBy>
  <dcterms:created xsi:type="dcterms:W3CDTF">2017-12-04T00:07:00Z</dcterms:created>
  <dcterms:modified xsi:type="dcterms:W3CDTF">2022-06-10T06:52:20Z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D5077564ACBD42F7A519001B1DA9FBD0</vt:lpwstr>
  </property>
</Properties>
</file>